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enne_projektmappe" defaultThemeVersion="202300"/>
  <mc:AlternateContent xmlns:mc="http://schemas.openxmlformats.org/markup-compatibility/2006">
    <mc:Choice Requires="x15">
      <x15ac:absPath xmlns:x15ac="http://schemas.microsoft.com/office/spreadsheetml/2010/11/ac" url="S:\Dansk-Gartneri\MOMH\CO2 neutralt erhverv\Final\"/>
    </mc:Choice>
  </mc:AlternateContent>
  <xr:revisionPtr revIDLastSave="0" documentId="13_ncr:1_{CE868A81-C338-4AF4-8410-5077600C3E0F}" xr6:coauthVersionLast="47" xr6:coauthVersionMax="47" xr10:uidLastSave="{00000000-0000-0000-0000-000000000000}"/>
  <workbookProtection workbookAlgorithmName="SHA-512" workbookHashValue="8S+ifZLT+vdKrPdUlEqSVt6TAbbcgzZA5DEtcfoDroMlRuXV7lanNcsgz1UxWC1tY0jDk+lFQwAKJIwQ/95H6A==" workbookSaltValue="1JnUURcyHORl3TTEEuhhmw==" workbookSpinCount="100000" lockStructure="1"/>
  <bookViews>
    <workbookView xWindow="-120" yWindow="-120" windowWidth="29040" windowHeight="15720" xr2:uid="{3279DCC0-A625-4F28-9E38-C7057EF51C0C}"/>
  </bookViews>
  <sheets>
    <sheet name="Klimaregnskab" sheetId="1" r:id="rId1"/>
    <sheet name="Målsætninger" sheetId="5" r:id="rId2"/>
    <sheet name="Emissioner over tid" sheetId="6" r:id="rId3"/>
    <sheet name="Emissionsfaktorer" sheetId="3" r:id="rId4"/>
    <sheet name="Metadata" sheetId="4" state="hidden" r:id="rId5"/>
    <sheet name="Ark4" sheetId="7" state="hidden" r:id="rId6"/>
    <sheet name="Ark2" sheetId="2" state="hidden" r:id="rId7"/>
  </sheets>
  <calcPr calcId="191029"/>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5" l="1"/>
  <c r="D45" i="5"/>
  <c r="C46" i="5"/>
  <c r="C45" i="5"/>
  <c r="C47" i="5" s="1"/>
  <c r="C31" i="5"/>
  <c r="D27" i="5"/>
  <c r="D17" i="5"/>
  <c r="D31" i="5" s="1"/>
  <c r="E17" i="5"/>
  <c r="E31" i="5" s="1"/>
  <c r="F17" i="5"/>
  <c r="F31" i="5" s="1"/>
  <c r="D18" i="5"/>
  <c r="D30" i="5" s="1"/>
  <c r="E18" i="5"/>
  <c r="E30" i="5" s="1"/>
  <c r="F18" i="5"/>
  <c r="F30" i="5" s="1"/>
  <c r="D19" i="5"/>
  <c r="D29" i="5" s="1"/>
  <c r="E19" i="5"/>
  <c r="E29" i="5" s="1"/>
  <c r="F19" i="5"/>
  <c r="F29" i="5" s="1"/>
  <c r="D20" i="5"/>
  <c r="D28" i="5" s="1"/>
  <c r="E20" i="5"/>
  <c r="E28" i="5" s="1"/>
  <c r="F20" i="5"/>
  <c r="F28" i="5" s="1"/>
  <c r="D21" i="5"/>
  <c r="E21" i="5"/>
  <c r="E27" i="5" s="1"/>
  <c r="F21" i="5"/>
  <c r="F27" i="5" s="1"/>
  <c r="E16" i="5"/>
  <c r="E32" i="5" s="1"/>
  <c r="F16" i="5"/>
  <c r="F32" i="5" s="1"/>
  <c r="D16" i="5"/>
  <c r="D32" i="5" s="1"/>
  <c r="C17" i="5"/>
  <c r="C18" i="5"/>
  <c r="C19" i="5"/>
  <c r="C29" i="5" s="1"/>
  <c r="C20" i="5"/>
  <c r="C28" i="5" s="1"/>
  <c r="C21" i="5"/>
  <c r="G21" i="5" s="1"/>
  <c r="C16" i="5"/>
  <c r="C32" i="5" s="1"/>
  <c r="F15" i="5"/>
  <c r="E15" i="5"/>
  <c r="D15" i="5"/>
  <c r="D33" i="5" s="1"/>
  <c r="C15" i="5"/>
  <c r="C33" i="5" s="1"/>
  <c r="E10" i="5"/>
  <c r="F10" i="5" s="1"/>
  <c r="F49" i="6"/>
  <c r="F50" i="6"/>
  <c r="F51" i="6"/>
  <c r="F52" i="6"/>
  <c r="F48" i="6"/>
  <c r="F47" i="6"/>
  <c r="F46" i="6"/>
  <c r="E49" i="6"/>
  <c r="E50" i="6"/>
  <c r="E51" i="6"/>
  <c r="E52" i="6"/>
  <c r="E48" i="6"/>
  <c r="E47" i="6"/>
  <c r="E46" i="6"/>
  <c r="D49" i="6"/>
  <c r="D50" i="6"/>
  <c r="D51" i="6"/>
  <c r="D52" i="6"/>
  <c r="D48" i="6"/>
  <c r="D47" i="6"/>
  <c r="D46" i="6"/>
  <c r="C49" i="6"/>
  <c r="C50" i="6"/>
  <c r="C51" i="6"/>
  <c r="C52" i="6"/>
  <c r="C48" i="6"/>
  <c r="C47" i="6"/>
  <c r="C46" i="6"/>
  <c r="J15" i="6"/>
  <c r="J16" i="6"/>
  <c r="J17" i="6"/>
  <c r="J18" i="6"/>
  <c r="J14" i="6"/>
  <c r="J13" i="6"/>
  <c r="J12" i="6"/>
  <c r="F33" i="6"/>
  <c r="F32" i="6"/>
  <c r="F34" i="6"/>
  <c r="F35" i="6"/>
  <c r="F36" i="6"/>
  <c r="F31" i="6"/>
  <c r="F30" i="6"/>
  <c r="I17" i="6"/>
  <c r="I16" i="6"/>
  <c r="I18" i="6"/>
  <c r="I15" i="6"/>
  <c r="I14" i="6"/>
  <c r="I13" i="6"/>
  <c r="I12" i="6"/>
  <c r="E36" i="6"/>
  <c r="E35" i="6"/>
  <c r="E34" i="6"/>
  <c r="E33" i="6"/>
  <c r="E32" i="6"/>
  <c r="E31" i="6"/>
  <c r="E30" i="6"/>
  <c r="D36" i="6"/>
  <c r="D35" i="6"/>
  <c r="D34" i="6"/>
  <c r="D33" i="6"/>
  <c r="D32" i="6"/>
  <c r="D31" i="6"/>
  <c r="D30" i="6"/>
  <c r="H18" i="6"/>
  <c r="H17" i="6"/>
  <c r="H16" i="6"/>
  <c r="H15" i="6"/>
  <c r="H14" i="6"/>
  <c r="H13" i="6"/>
  <c r="G18" i="6"/>
  <c r="G17" i="6"/>
  <c r="G16" i="6"/>
  <c r="G15" i="6"/>
  <c r="G14" i="6"/>
  <c r="G13" i="6"/>
  <c r="F18" i="6"/>
  <c r="F17" i="6"/>
  <c r="F16" i="6"/>
  <c r="F15" i="6"/>
  <c r="F14" i="6"/>
  <c r="E18" i="6"/>
  <c r="E17" i="6"/>
  <c r="E16" i="6"/>
  <c r="E15" i="6"/>
  <c r="E14" i="6"/>
  <c r="H12" i="6"/>
  <c r="F13" i="6"/>
  <c r="E13" i="6"/>
  <c r="G12" i="6"/>
  <c r="F12" i="6"/>
  <c r="E12" i="6"/>
  <c r="D18" i="6"/>
  <c r="D17" i="6"/>
  <c r="D16" i="6"/>
  <c r="D15" i="6"/>
  <c r="D14" i="6"/>
  <c r="D13" i="6"/>
  <c r="H20" i="3"/>
  <c r="G20" i="3"/>
  <c r="F20" i="3"/>
  <c r="E20" i="3"/>
  <c r="D20" i="3"/>
  <c r="C20" i="3"/>
  <c r="H19" i="3"/>
  <c r="G19" i="3"/>
  <c r="F19" i="3"/>
  <c r="E19" i="3"/>
  <c r="D19" i="3"/>
  <c r="C19" i="3"/>
  <c r="D12" i="6"/>
  <c r="K8" i="4"/>
  <c r="K9" i="4"/>
  <c r="K10" i="4"/>
  <c r="K11" i="4"/>
  <c r="K7" i="4"/>
  <c r="E22" i="5" l="1"/>
  <c r="C23" i="5"/>
  <c r="C34" i="5" s="1"/>
  <c r="C35" i="5" s="1"/>
  <c r="C36" i="5" s="1"/>
  <c r="C37" i="5" s="1"/>
  <c r="C38" i="5" s="1"/>
  <c r="C39" i="5" s="1"/>
  <c r="F23" i="5"/>
  <c r="E46" i="5"/>
  <c r="F46" i="5" s="1"/>
  <c r="C27" i="5"/>
  <c r="D47" i="5"/>
  <c r="E47" i="5" s="1"/>
  <c r="F47" i="5" s="1"/>
  <c r="G46" i="5"/>
  <c r="H46" i="5" s="1"/>
  <c r="C22" i="5"/>
  <c r="D23" i="5"/>
  <c r="D34" i="5" s="1"/>
  <c r="D35" i="5" s="1"/>
  <c r="D36" i="5" s="1"/>
  <c r="D37" i="5" s="1"/>
  <c r="D38" i="5" s="1"/>
  <c r="D39" i="5" s="1"/>
  <c r="E45" i="5"/>
  <c r="F45" i="5" s="1"/>
  <c r="E23" i="5"/>
  <c r="F22" i="5"/>
  <c r="F33" i="5"/>
  <c r="F34" i="5" s="1"/>
  <c r="F35" i="5" s="1"/>
  <c r="F36" i="5" s="1"/>
  <c r="F37" i="5" s="1"/>
  <c r="F38" i="5" s="1"/>
  <c r="F39" i="5" s="1"/>
  <c r="D22" i="5"/>
  <c r="G16" i="5"/>
  <c r="G15" i="5"/>
  <c r="G19" i="5"/>
  <c r="G20" i="5"/>
  <c r="E33" i="5"/>
  <c r="G18" i="5"/>
  <c r="G17" i="5"/>
  <c r="C30" i="5"/>
  <c r="F20" i="1"/>
  <c r="D11" i="3"/>
  <c r="F21" i="1"/>
  <c r="D10" i="3"/>
  <c r="B9" i="3"/>
  <c r="B8" i="3"/>
  <c r="F10" i="1"/>
  <c r="F11" i="1"/>
  <c r="F12" i="1"/>
  <c r="F9" i="1"/>
  <c r="F8" i="1"/>
  <c r="D9" i="3"/>
  <c r="D8" i="3"/>
  <c r="C21" i="1"/>
  <c r="E21" i="1" s="1"/>
  <c r="C20" i="1"/>
  <c r="E20" i="1" s="1"/>
  <c r="C12" i="1"/>
  <c r="E12" i="1" s="1"/>
  <c r="C11" i="1"/>
  <c r="E11" i="1" s="1"/>
  <c r="C10" i="1"/>
  <c r="E10" i="1" s="1"/>
  <c r="C9" i="1"/>
  <c r="E9" i="1" s="1"/>
  <c r="C8" i="1"/>
  <c r="E8" i="1" s="1"/>
  <c r="K12" i="4"/>
  <c r="J12" i="4"/>
  <c r="I12" i="4"/>
  <c r="H12" i="4"/>
  <c r="G12" i="4"/>
  <c r="F12" i="4"/>
  <c r="E12" i="4"/>
  <c r="D12" i="4"/>
  <c r="K6" i="4"/>
  <c r="J6" i="4"/>
  <c r="I6" i="4"/>
  <c r="H6" i="4"/>
  <c r="G6" i="4"/>
  <c r="F6" i="4"/>
  <c r="E6" i="4"/>
  <c r="D6" i="4"/>
  <c r="B29" i="2"/>
  <c r="G47" i="5" l="1"/>
  <c r="H47" i="5" s="1"/>
  <c r="G22" i="5"/>
  <c r="G23" i="5"/>
  <c r="E34" i="5"/>
  <c r="E35" i="5" s="1"/>
  <c r="E36" i="5" s="1"/>
  <c r="E37" i="5" s="1"/>
  <c r="E38" i="5" s="1"/>
  <c r="E39" i="5" s="1"/>
  <c r="G45" i="5"/>
  <c r="H45" i="5" s="1"/>
  <c r="H21" i="1"/>
  <c r="H20" i="1"/>
  <c r="H12" i="1"/>
  <c r="C32" i="1" s="1"/>
  <c r="H9" i="1"/>
  <c r="H8" i="1"/>
  <c r="H14" i="1" s="1"/>
  <c r="H15" i="1" s="1"/>
  <c r="C30" i="1" s="1"/>
  <c r="C34" i="1" s="1"/>
  <c r="H10" i="1"/>
  <c r="H11" i="1"/>
  <c r="H23" i="1"/>
  <c r="C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tc={C82462C1-652C-4923-BFBD-AD76EE0034A6}</author>
    <author>tc={48110EC7-78DB-41FA-A7D8-9F39504024AA}</author>
    <author>tc={9E8EBF2B-E7DB-4A37-A38D-B5A1F931347F}</author>
    <author>tc={F9BE496D-723F-4987-9EFE-59C219A5EACD}</author>
    <author>tc={EF5D7B2C-625E-4835-9D04-759C9D40BB73}</author>
    <author>tc={257C95A0-9C1A-42A4-ACCD-0DF3B9B3D242}</author>
    <author>tc={EBBD0313-6661-42B0-85E5-A31F518445DB}</author>
    <author>tc={07E4480C-8DB8-4DB5-8120-78E03582D7B6}</author>
  </authors>
  <commentList>
    <comment ref="E21" authorId="0" shapeId="0" xr:uid="{C82462C1-652C-4923-BFBD-AD76EE0034A6}">
      <text>
        <t>[Trådet kommentar]
Din version af Excel lader dig læse denne trådede kommentar. Eventuelle ændringer vil dog blive fjernet, hvis filen åbnes i en nyere version af Excel. Få mere at vide: https://go.microsoft.com/fwlink/?linkid=870924
Kommentar:
    OBS EF fra 2015, 2014 N/A</t>
      </text>
    </comment>
    <comment ref="F21" authorId="1" shapeId="0" xr:uid="{48110EC7-78DB-41FA-A7D8-9F39504024AA}">
      <text>
        <t>[Trådet kommentar]
Din version af Excel lader dig læse denne trådede kommentar. Eventuelle ændringer vil dog blive fjernet, hvis filen åbnes i en nyere version af Excel. Få mere at vide: https://go.microsoft.com/fwlink/?linkid=870924
Kommentar:
    EF = 110 g CO₂/kWh = 0,110 kg CO₂/kWh = 0,11 ton CO₂/MWh. KILDE: COWI, omregnet til ton CO2/TJ</t>
      </text>
    </comment>
    <comment ref="G21" authorId="2" shapeId="0" xr:uid="{9E8EBF2B-E7DB-4A37-A38D-B5A1F931347F}">
      <text>
        <t>[Trådet kommentar]
Din version af Excel lader dig læse denne trådede kommentar. Eventuelle ændringer vil dog blive fjernet, hvis filen åbnes i en nyere version af Excel. Få mere at vide: https://go.microsoft.com/fwlink/?linkid=870924
Kommentar:
    EF = 0,114ton CO₂/MWh×277,78MWh/TJ=31,7t CO₂/TJ. Kilde: GREVE</t>
      </text>
    </comment>
    <comment ref="H21" authorId="3" shapeId="0" xr:uid="{F9BE496D-723F-4987-9EFE-59C219A5EACD}">
      <text>
        <t>[Trådet kommentar]
Din version af Excel lader dig læse denne trådede kommentar. Eventuelle ændringer vil dog blive fjernet, hvis filen åbnes i en nyere version af Excel. Få mere at vide: https://go.microsoft.com/fwlink/?linkid=870924
Kommentar:
    EF = 0,146ton/MWh×277,78MWh/TJ=40,5ton CO₂/TJ. KILDE: Københavns Kommune 2005</t>
      </text>
    </comment>
    <comment ref="E22" authorId="4" shapeId="0" xr:uid="{EF5D7B2C-625E-4835-9D04-759C9D40BB73}">
      <text>
        <t>[Trådet kommentar]
Din version af Excel lader dig læse denne trådede kommentar. Eventuelle ændringer vil dog blive fjernet, hvis filen åbnes i en nyere version af Excel. Få mere at vide: https://go.microsoft.com/fwlink/?linkid=870924
Kommentar:
    OBS EF fra 2015, 2014 N/A</t>
      </text>
    </comment>
    <comment ref="F22" authorId="5" shapeId="0" xr:uid="{257C95A0-9C1A-42A4-ACCD-0DF3B9B3D242}">
      <text>
        <t>[Trådet kommentar]
Din version af Excel lader dig læse denne trådede kommentar. Eventuelle ændringer vil dog blive fjernet, hvis filen åbnes i en nyere version af Excel. Få mere at vide: https://go.microsoft.com/fwlink/?linkid=870924
Kommentar:
    EF 0,426ton CO₂/MWh×277,78MWh/TJ=118.4ton CO₂/TJ. KILDE COWI, omregnet til ton CO2/TJ</t>
      </text>
    </comment>
    <comment ref="G22" authorId="6" shapeId="0" xr:uid="{EBBD0313-6661-42B0-85E5-A31F518445DB}">
      <text>
        <t xml:space="preserve">[Trådet kommentar]
Din version af Excel lader dig læse denne trådede kommentar. Eventuelle ændringer vil dog blive fjernet, hvis filen åbnes i en nyere version af Excel. Få mere at vide: https://go.microsoft.com/fwlink/?linkid=870924
Kommentar:
    EF = 0,506ton CO₂/MWh×277,78MWh/TJ=140,7t CO₂/TJ, KILDE: CO2-opgørelse 2008 For Greve Kommune som virksomhed </t>
      </text>
    </comment>
    <comment ref="H22" authorId="7" shapeId="0" xr:uid="{07E4480C-8DB8-4DB5-8120-78E03582D7B6}">
      <text>
        <t>[Trådet kommentar]
Din version af Excel lader dig læse denne trådede kommentar. Eventuelle ændringer vil dog blive fjernet, hvis filen åbnes i en nyere version af Excel. Få mere at vide: https://go.microsoft.com/fwlink/?linkid=870924
Kommentar:
    EF = 0,541ton/MWh×277,78MWh/TJ=150,3ton CO₂/TJ, KILDE Københavns Kommune 2005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tc={964956F2-69DD-421A-8E93-F61DA8A768DC}</author>
    <author>tc={9FE9FA19-758B-48F7-AAE2-497AB6F2F714}</author>
    <author>tc={9E63C34B-25E1-4CDB-A756-C43A656B2285}</author>
    <author>tc={BABF3D7A-7723-4D6E-964F-1AED2BAB9C08}</author>
  </authors>
  <commentList>
    <comment ref="H7" authorId="0" shapeId="0" xr:uid="{964956F2-69DD-421A-8E93-F61DA8A768DC}">
      <text>
        <t>[Trådet kommentar]
Din version af Excel lader dig læse denne trådede kommentar. Eventuelle ændringer vil dog blive fjernet, hvis filen åbnes i en nyere version af Excel. Få mere at vide: https://go.microsoft.com/fwlink/?linkid=870924
Kommentar:
    Angivet som biomasse</t>
      </text>
    </comment>
    <comment ref="H8" authorId="1" shapeId="0" xr:uid="{9FE9FA19-758B-48F7-AAE2-497AB6F2F714}">
      <text>
        <t>[Trådet kommentar]
Din version af Excel lader dig læse denne trådede kommentar. Eventuelle ændringer vil dog blive fjernet, hvis filen åbnes i en nyere version af Excel. Få mere at vide: https://go.microsoft.com/fwlink/?linkid=870924
Kommentar:
    Angivet som biomasse</t>
      </text>
    </comment>
    <comment ref="H9" authorId="2" shapeId="0" xr:uid="{9E63C34B-25E1-4CDB-A756-C43A656B2285}">
      <text>
        <t>[Trådet kommentar]
Din version af Excel lader dig læse denne trådede kommentar. Eventuelle ændringer vil dog blive fjernet, hvis filen åbnes i en nyere version af Excel. Få mere at vide: https://go.microsoft.com/fwlink/?linkid=870924
Kommentar:
    Angivet som biomasse</t>
      </text>
    </comment>
    <comment ref="H10" authorId="3" shapeId="0" xr:uid="{BABF3D7A-7723-4D6E-964F-1AED2BAB9C08}">
      <text>
        <t>[Trådet kommentar]
Din version af Excel lader dig læse denne trådede kommentar. Eventuelle ændringer vil dog blive fjernet, hvis filen åbnes i en nyere version af Excel. Få mere at vide: https://go.microsoft.com/fwlink/?linkid=870924
Kommentar:
    Angivet som biomasse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tc={A0711A64-911B-4AC9-B604-C9F6D49181F7}</author>
  </authors>
  <commentList>
    <comment ref="A23" authorId="0" shapeId="0" xr:uid="{A0711A64-911B-4AC9-B604-C9F6D49181F7}">
      <text>
        <t>[Trådet kommentar]
Din version af Excel lader dig læse denne trådede kommentar. Eventuelle ændringer vil dog blive fjernet, hvis filen åbnes i en nyere version af Excel. Få mere at vide: https://go.microsoft.com/fwlink/?linkid=870924
Kommentar:
    OBS gasolie i Tal om gartneriet, tjek</t>
      </text>
    </comment>
  </commentList>
</comments>
</file>

<file path=xl/sharedStrings.xml><?xml version="1.0" encoding="utf-8"?>
<sst xmlns="http://schemas.openxmlformats.org/spreadsheetml/2006/main" count="273" uniqueCount="114">
  <si>
    <t xml:space="preserve">Energiforbrug hos væksthusbedrifter fordelt efter energitype og region 2023 </t>
  </si>
  <si>
    <t>Øst for Storebælt</t>
  </si>
  <si>
    <t>Fyn</t>
  </si>
  <si>
    <t>Jylland</t>
  </si>
  <si>
    <t>Hele landet</t>
  </si>
  <si>
    <t xml:space="preserve">Enhed: 1.000 gigajoule  </t>
  </si>
  <si>
    <t>Fuelolie</t>
  </si>
  <si>
    <t>Letolie</t>
  </si>
  <si>
    <t>Naturgas</t>
  </si>
  <si>
    <t>Kul og koks</t>
  </si>
  <si>
    <t>Brænde mv</t>
  </si>
  <si>
    <t>Fjernvarme</t>
  </si>
  <si>
    <t>I alt til opvarmning</t>
  </si>
  <si>
    <t>Elektricitet</t>
  </si>
  <si>
    <t>Energiforbrug i alt</t>
  </si>
  <si>
    <t>Kilde DST 2023</t>
  </si>
  <si>
    <t>I alt (1000 GJ)</t>
  </si>
  <si>
    <t>Kilde:  Danmarks Statistik, 2008-tal offentliggøres i 2009. Se Dansk Gartneri "Tal om gartneriet 2008"</t>
  </si>
  <si>
    <t>Klimaregnskab for gartnerierhvervet</t>
  </si>
  <si>
    <t>Scope 1</t>
  </si>
  <si>
    <t>Energitype</t>
  </si>
  <si>
    <t>Scope 2</t>
  </si>
  <si>
    <t>Baseline 2023</t>
  </si>
  <si>
    <t>Direkte emissioner fra stationær forbrænding</t>
  </si>
  <si>
    <t>Indirekte emissioner fra købt elektricitet og energi til eget forbrug</t>
  </si>
  <si>
    <t>GJ</t>
  </si>
  <si>
    <t>År</t>
  </si>
  <si>
    <t>(1.000 GJ)</t>
  </si>
  <si>
    <t>Enhed</t>
  </si>
  <si>
    <t>Emissionsfaktor</t>
  </si>
  <si>
    <t>Kilde</t>
  </si>
  <si>
    <t>GJ/ton</t>
  </si>
  <si>
    <t>ENS "Standardfaktorer for brændværdier og CO2-
emissionsfaktorer til brug for rapporteringsåret 2024"</t>
  </si>
  <si>
    <t>GJ/m3</t>
  </si>
  <si>
    <t>Kommentar</t>
  </si>
  <si>
    <t>Nedre brændværdi</t>
  </si>
  <si>
    <t>EF &amp; brændværdi = gennemsnitstallet for kul og koks</t>
  </si>
  <si>
    <t>EF &amp; brændværdi = gennemsnitstallet for træpiller og træflis</t>
  </si>
  <si>
    <t>Enhed/TJ</t>
  </si>
  <si>
    <t>Total</t>
  </si>
  <si>
    <t>Total uden biogent materiale</t>
  </si>
  <si>
    <t>Activity data: energiforbrug</t>
  </si>
  <si>
    <t>ENS "Emissionsfaktorark_2015-2035"</t>
  </si>
  <si>
    <t>EF angivet som kg CO2/GJ, omregnet til ton CO2/TJ</t>
  </si>
  <si>
    <t>Brænde mv (biogent materiale)</t>
  </si>
  <si>
    <t>Biogent materiale, særskilt</t>
  </si>
  <si>
    <t>Dansk Gartneri, Tal om Gartneriet 2016, tal fra DST</t>
  </si>
  <si>
    <t>Dansk Gartneri, Tal om Gartneriet 2008, tal fra DST</t>
  </si>
  <si>
    <t>Dansk Gartneri, Tal om Gartneriet 2010, tal fra DST</t>
  </si>
  <si>
    <t>Dansk Gartneri, Tal om Gartneriet 2012, tal fra DST</t>
  </si>
  <si>
    <t>Dansk Gartneri, Tal om Gartneriet 2018, tal fra DST</t>
  </si>
  <si>
    <t>Dansk Gartneri, Tal om Gartneriet 2020, tal fra DST</t>
  </si>
  <si>
    <t>Dansk Gartneri, Tal om Gartneriet 2025, tal fra DST</t>
  </si>
  <si>
    <t>ton CO2/TJ</t>
  </si>
  <si>
    <t>CO2 emissioner over tid*</t>
  </si>
  <si>
    <t>*GJ angivet i "Metadata" som enhed 1.000 GJ. Derfor er dette tal indirekte angivet i TJ og derfor ikke omregnet</t>
  </si>
  <si>
    <t>Gasolie</t>
  </si>
  <si>
    <t>Energistyrelsens standard faktorer for tidligere år - 2005-2024</t>
  </si>
  <si>
    <t>Emissionsfaktor 2020</t>
  </si>
  <si>
    <t>Emissionsfaktor 2017</t>
  </si>
  <si>
    <t>Emissionsfaktor 2014</t>
  </si>
  <si>
    <t>Emissionsfaktor 2011</t>
  </si>
  <si>
    <t>Emissionsfaktor 2008</t>
  </si>
  <si>
    <t>Emissionsfaktor 2005</t>
  </si>
  <si>
    <t>EF anvendt "Fuelolie i øvrige"</t>
  </si>
  <si>
    <t>EF = gennemsnitstallet for kul og koks</t>
  </si>
  <si>
    <t>N/A, samme EF som 2023 anvendt</t>
  </si>
  <si>
    <t>2020, 2017, 2014: ENS "Emissionsfaktorark_2015-2035". 2011: COWI, CO2-regnskab 2011, "Kortlægning for kommunen som samfund", 2008: "CO2-opgørelse 2008 For Greve Kommune som virksomhed", 2005: Københavns Kommune CO2 regnskab 2005</t>
  </si>
  <si>
    <t>Total (med biogent materiale)</t>
  </si>
  <si>
    <t>Total (uden biogent materiale)</t>
  </si>
  <si>
    <t>Biogent materiale</t>
  </si>
  <si>
    <t>Sum af Scope 1</t>
  </si>
  <si>
    <t>Sum af Scope 2</t>
  </si>
  <si>
    <t>Sum af Biogent materiale</t>
  </si>
  <si>
    <t>Sum af Total (ton CO2/TJ)</t>
  </si>
  <si>
    <t>Rækkemærkater</t>
  </si>
  <si>
    <t>Hovedtotal</t>
  </si>
  <si>
    <t>Total (ton CO2)</t>
  </si>
  <si>
    <t>ton CO2</t>
  </si>
  <si>
    <t>Tiltag</t>
  </si>
  <si>
    <t>Udfasning af fossile brændsler</t>
  </si>
  <si>
    <t>Baseline</t>
  </si>
  <si>
    <t>Slutår</t>
  </si>
  <si>
    <t>Baseline samlet forbrug (1.000 GJ)</t>
  </si>
  <si>
    <t>Årligt fald (1.000 GJ)</t>
  </si>
  <si>
    <t>Slutmål (1.000 GJ)</t>
  </si>
  <si>
    <t>Målsætninger og tiltag</t>
  </si>
  <si>
    <t>GNS årlig ændring (1.000 GJ)</t>
  </si>
  <si>
    <t>Kul og koks forbrug</t>
  </si>
  <si>
    <t>Gasolie forbrug</t>
  </si>
  <si>
    <t>Fuelolie forbrug</t>
  </si>
  <si>
    <t>Forbrug som påvist i branchetal</t>
  </si>
  <si>
    <t>Fremskrevet forbrug efter gennemsnitlig årlig ændring i forbrug 2014-2023</t>
  </si>
  <si>
    <t>GNS ÅÆ 2014-2023 (1.000 GJ)</t>
  </si>
  <si>
    <t>*Væksthusgartnerier, bemærk afgrænsinger i Scope 1 og Scope 2</t>
  </si>
  <si>
    <r>
      <t>Samlet ton CO</t>
    </r>
    <r>
      <rPr>
        <b/>
        <sz val="8"/>
        <color theme="1"/>
        <rFont val="Arial"/>
        <family val="2"/>
      </rPr>
      <t>2</t>
    </r>
    <r>
      <rPr>
        <b/>
        <sz val="11"/>
        <color theme="1"/>
        <rFont val="Arial"/>
        <family val="2"/>
      </rPr>
      <t xml:space="preserve"> i 2023 fra energi- og elektricitetsforbrug i gartnerierhvervet*</t>
    </r>
  </si>
  <si>
    <r>
      <t>ton CO</t>
    </r>
    <r>
      <rPr>
        <b/>
        <sz val="6"/>
        <color theme="1"/>
        <rFont val="Arial"/>
        <family val="2"/>
      </rPr>
      <t>2</t>
    </r>
  </si>
  <si>
    <t>Bedrifter med og uden opvarmning af væksthuse efter region og type af opvarmning 2023: areal med væksthus</t>
  </si>
  <si>
    <t xml:space="preserve">Enhed: m2  </t>
  </si>
  <si>
    <t>I alt med opvarmning</t>
  </si>
  <si>
    <t>Uden opvarmning</t>
  </si>
  <si>
    <t>Som eneste kilde til opvarmning</t>
  </si>
  <si>
    <t>-</t>
  </si>
  <si>
    <t>Landbrugs- og gartneritællingen 2024</t>
  </si>
  <si>
    <t>Scope 1 (uden biogent materiale)</t>
  </si>
  <si>
    <t>opvarmet areal (m2)</t>
  </si>
  <si>
    <t>Scope 2 (kun fjernvarme)</t>
  </si>
  <si>
    <t>ton CO2/m2</t>
  </si>
  <si>
    <t>kg CO2/m2</t>
  </si>
  <si>
    <t>40% af kg CO2/m2</t>
  </si>
  <si>
    <t>kg CO2/m2 mål i 2030</t>
  </si>
  <si>
    <r>
      <t>ton CO</t>
    </r>
    <r>
      <rPr>
        <b/>
        <sz val="8"/>
        <color theme="1"/>
        <rFont val="Arial"/>
        <family val="2"/>
      </rPr>
      <t>2</t>
    </r>
  </si>
  <si>
    <t>Målsætning 1 (absolut)</t>
  </si>
  <si>
    <t>Målsætning 2 (intensitet)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</si>
</sst>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0"/>
  </numFmts>
  <fonts count="16" x14ac:knownFonts="1">
    <font>
      <sz val="9"/>
      <color theme="1"/>
      <name val="Arial"/>
      <family val="2"/>
    </font>
    <font>
      <b/>
      <sz val="9"/>
      <color theme="1"/>
      <name val="Arial"/>
      <family val="2"/>
    </font>
    <font>
      <b/>
      <sz val="10"/>
      <color theme="1"/>
      <name val="Arial"/>
      <family val="2"/>
    </font>
    <font>
      <sz val="10"/>
      <color theme="1"/>
      <name val="Arial"/>
      <family val="2"/>
    </font>
    <font>
      <sz val="14"/>
      <color theme="1"/>
      <name val="Arial"/>
      <family val="2"/>
    </font>
    <font>
      <b/>
      <sz val="11"/>
      <color theme="1"/>
      <name val="Arial"/>
      <family val="2"/>
    </font>
    <font>
      <sz val="22"/>
      <color theme="1"/>
      <name val="Arial"/>
      <family val="2"/>
    </font>
    <font>
      <i/>
      <sz val="9"/>
      <color theme="1"/>
      <name val="Arial"/>
      <family val="2"/>
    </font>
    <font>
      <b/>
      <sz val="10"/>
      <name val="Arial"/>
      <family val="2"/>
    </font>
    <font>
      <i/>
      <sz val="10"/>
      <color theme="1"/>
      <name val="Arial"/>
      <family val="2"/>
    </font>
    <font>
      <i/>
      <sz val="8"/>
      <color theme="1"/>
      <name val="Arial"/>
      <family val="2"/>
    </font>
    <font>
      <b/>
      <sz val="16"/>
      <color theme="1"/>
      <name val="Arial"/>
      <family val="2"/>
    </font>
    <font>
      <sz val="20"/>
      <color theme="1"/>
      <name val="Arial"/>
      <family val="2"/>
    </font>
    <font>
      <sz val="11"/>
      <color theme="1"/>
      <name val="Arial"/>
      <family val="2"/>
    </font>
    <font>
      <b/>
      <sz val="8"/>
      <color theme="1"/>
      <name val="Arial"/>
      <family val="2"/>
    </font>
    <font>
      <b/>
      <sz val="6"/>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0" fillId="3" borderId="0" xfId="0" applyFill="1"/>
    <xf numFmtId="0" fontId="4" fillId="3" borderId="0" xfId="0" applyFont="1" applyFill="1"/>
    <xf numFmtId="0" fontId="0" fillId="4" borderId="0" xfId="0" applyFill="1"/>
    <xf numFmtId="0" fontId="4" fillId="4" borderId="0" xfId="0" applyFont="1" applyFill="1"/>
    <xf numFmtId="0" fontId="0" fillId="5" borderId="0" xfId="0" applyFill="1"/>
    <xf numFmtId="0" fontId="1" fillId="5" borderId="0" xfId="0" applyFont="1" applyFill="1"/>
    <xf numFmtId="0" fontId="3" fillId="0" borderId="0" xfId="0" applyFont="1"/>
    <xf numFmtId="0" fontId="1" fillId="0" borderId="0" xfId="0" applyFont="1"/>
    <xf numFmtId="0" fontId="7" fillId="0" borderId="0" xfId="0" applyFont="1"/>
    <xf numFmtId="0" fontId="0" fillId="0" borderId="0" xfId="0" applyAlignment="1">
      <alignment wrapText="1"/>
    </xf>
    <xf numFmtId="0" fontId="5" fillId="5" borderId="0" xfId="0" applyFont="1" applyFill="1"/>
    <xf numFmtId="0" fontId="0" fillId="5" borderId="2" xfId="0" applyFill="1" applyBorder="1"/>
    <xf numFmtId="0" fontId="0" fillId="5" borderId="3" xfId="0" applyFill="1" applyBorder="1"/>
    <xf numFmtId="0" fontId="0" fillId="5" borderId="5" xfId="0" applyFill="1" applyBorder="1"/>
    <xf numFmtId="0" fontId="0" fillId="5" borderId="4" xfId="0" applyFill="1" applyBorder="1"/>
    <xf numFmtId="0" fontId="0" fillId="5" borderId="7" xfId="0" applyFill="1" applyBorder="1"/>
    <xf numFmtId="0" fontId="3" fillId="3" borderId="1" xfId="0" applyFont="1" applyFill="1" applyBorder="1"/>
    <xf numFmtId="0" fontId="3" fillId="3" borderId="4" xfId="0" applyFont="1" applyFill="1" applyBorder="1"/>
    <xf numFmtId="0" fontId="2" fillId="3" borderId="4" xfId="0" applyFont="1" applyFill="1" applyBorder="1"/>
    <xf numFmtId="0" fontId="2" fillId="3" borderId="6" xfId="0" applyFont="1" applyFill="1" applyBorder="1"/>
    <xf numFmtId="0" fontId="7" fillId="5" borderId="0" xfId="0" applyFont="1" applyFill="1"/>
    <xf numFmtId="164" fontId="0" fillId="0" borderId="0" xfId="0" applyNumberFormat="1"/>
    <xf numFmtId="0" fontId="5" fillId="5" borderId="7" xfId="0" applyFont="1" applyFill="1" applyBorder="1"/>
    <xf numFmtId="0" fontId="2" fillId="6" borderId="5" xfId="0" applyFont="1" applyFill="1" applyBorder="1"/>
    <xf numFmtId="0" fontId="2" fillId="6" borderId="8" xfId="0" applyFont="1" applyFill="1" applyBorder="1"/>
    <xf numFmtId="0" fontId="0" fillId="4" borderId="1" xfId="0" applyFill="1" applyBorder="1"/>
    <xf numFmtId="0" fontId="0" fillId="4" borderId="4" xfId="0" applyFill="1" applyBorder="1"/>
    <xf numFmtId="0" fontId="1" fillId="4" borderId="6" xfId="0" applyFont="1" applyFill="1" applyBorder="1"/>
    <xf numFmtId="0" fontId="8" fillId="6" borderId="8" xfId="0" applyFont="1" applyFill="1" applyBorder="1"/>
    <xf numFmtId="0" fontId="6" fillId="5" borderId="0" xfId="0" applyFont="1" applyFill="1" applyAlignment="1">
      <alignment vertical="center"/>
    </xf>
    <xf numFmtId="0" fontId="0" fillId="0" borderId="0" xfId="0" applyAlignment="1">
      <alignment vertical="center"/>
    </xf>
    <xf numFmtId="0" fontId="0" fillId="5" borderId="0" xfId="0" applyFill="1" applyAlignment="1">
      <alignment vertical="center"/>
    </xf>
    <xf numFmtId="0" fontId="1" fillId="5" borderId="0" xfId="0" applyFont="1" applyFill="1" applyAlignment="1">
      <alignment vertical="center"/>
    </xf>
    <xf numFmtId="0" fontId="0" fillId="6" borderId="0" xfId="0" applyFill="1"/>
    <xf numFmtId="0" fontId="9" fillId="3" borderId="4" xfId="0" applyFont="1" applyFill="1" applyBorder="1"/>
    <xf numFmtId="0" fontId="0" fillId="5" borderId="1" xfId="0" applyFill="1" applyBorder="1"/>
    <xf numFmtId="0" fontId="0" fillId="6" borderId="4" xfId="0" applyFill="1" applyBorder="1"/>
    <xf numFmtId="2" fontId="0" fillId="5" borderId="5" xfId="0" applyNumberFormat="1" applyFill="1" applyBorder="1"/>
    <xf numFmtId="0" fontId="1" fillId="6" borderId="6" xfId="0" applyFont="1" applyFill="1" applyBorder="1"/>
    <xf numFmtId="2" fontId="2" fillId="6" borderId="8" xfId="0" applyNumberFormat="1" applyFont="1" applyFill="1" applyBorder="1"/>
    <xf numFmtId="0" fontId="1" fillId="5" borderId="3" xfId="0" applyFont="1" applyFill="1" applyBorder="1" applyAlignment="1">
      <alignment horizontal="center" vertical="top"/>
    </xf>
    <xf numFmtId="0" fontId="0" fillId="5" borderId="2" xfId="0" applyFill="1" applyBorder="1" applyAlignment="1">
      <alignment horizontal="center"/>
    </xf>
    <xf numFmtId="0" fontId="0" fillId="5" borderId="0" xfId="0" applyFill="1" applyAlignment="1">
      <alignment horizontal="center"/>
    </xf>
    <xf numFmtId="0" fontId="0" fillId="5" borderId="2" xfId="0" applyFill="1" applyBorder="1" applyAlignment="1">
      <alignment horizontal="left"/>
    </xf>
    <xf numFmtId="0" fontId="0" fillId="5" borderId="0" xfId="0" applyFill="1" applyAlignment="1">
      <alignment horizontal="left"/>
    </xf>
    <xf numFmtId="164" fontId="0" fillId="5" borderId="2" xfId="0" applyNumberFormat="1" applyFill="1" applyBorder="1" applyAlignment="1">
      <alignment horizontal="center"/>
    </xf>
    <xf numFmtId="0" fontId="7" fillId="6" borderId="4" xfId="0" applyFont="1" applyFill="1" applyBorder="1"/>
    <xf numFmtId="2" fontId="0" fillId="0" borderId="0" xfId="0" applyNumberFormat="1"/>
    <xf numFmtId="0" fontId="10" fillId="5" borderId="0" xfId="0" applyFont="1" applyFill="1"/>
    <xf numFmtId="0" fontId="2" fillId="5" borderId="0" xfId="0" applyFont="1" applyFill="1"/>
    <xf numFmtId="0" fontId="11" fillId="5" borderId="0" xfId="0" applyFont="1" applyFill="1"/>
    <xf numFmtId="0" fontId="7" fillId="5" borderId="2" xfId="0" applyFont="1" applyFill="1" applyBorder="1"/>
    <xf numFmtId="0" fontId="7" fillId="5" borderId="3" xfId="0" applyFont="1" applyFill="1" applyBorder="1"/>
    <xf numFmtId="0" fontId="1" fillId="3" borderId="4" xfId="0" applyFont="1" applyFill="1" applyBorder="1"/>
    <xf numFmtId="0" fontId="0" fillId="3" borderId="4" xfId="0" applyFill="1" applyBorder="1"/>
    <xf numFmtId="0" fontId="1" fillId="3" borderId="0" xfId="0" applyFont="1" applyFill="1"/>
    <xf numFmtId="0" fontId="1" fillId="5" borderId="5" xfId="0" applyFont="1" applyFill="1" applyBorder="1"/>
    <xf numFmtId="0" fontId="0" fillId="3" borderId="6" xfId="0" applyFill="1" applyBorder="1"/>
    <xf numFmtId="0" fontId="1" fillId="3" borderId="7" xfId="0" applyFont="1" applyFill="1" applyBorder="1"/>
    <xf numFmtId="0" fontId="1" fillId="5" borderId="8" xfId="0" applyFont="1" applyFill="1" applyBorder="1"/>
    <xf numFmtId="2" fontId="0" fillId="5" borderId="0" xfId="0" applyNumberFormat="1" applyFill="1"/>
    <xf numFmtId="2" fontId="1" fillId="4" borderId="5" xfId="0" applyNumberFormat="1" applyFont="1" applyFill="1" applyBorder="1"/>
    <xf numFmtId="0" fontId="0" fillId="4" borderId="6" xfId="0" applyFill="1" applyBorder="1"/>
    <xf numFmtId="2" fontId="1" fillId="4" borderId="8" xfId="0" applyNumberFormat="1" applyFont="1" applyFill="1" applyBorder="1"/>
    <xf numFmtId="0" fontId="0" fillId="6" borderId="6" xfId="0" applyFill="1" applyBorder="1"/>
    <xf numFmtId="2" fontId="0" fillId="5" borderId="7" xfId="0" applyNumberFormat="1" applyFill="1" applyBorder="1"/>
    <xf numFmtId="0" fontId="1" fillId="5" borderId="1" xfId="0" applyFont="1" applyFill="1" applyBorder="1"/>
    <xf numFmtId="2" fontId="1" fillId="6" borderId="5" xfId="0" applyNumberFormat="1" applyFont="1" applyFill="1" applyBorder="1"/>
    <xf numFmtId="2" fontId="1" fillId="6" borderId="8" xfId="0" applyNumberFormat="1" applyFont="1" applyFill="1" applyBorder="1"/>
    <xf numFmtId="0" fontId="1" fillId="5" borderId="2" xfId="0" applyFont="1" applyFill="1" applyBorder="1"/>
    <xf numFmtId="0" fontId="1" fillId="5" borderId="3" xfId="0" applyFont="1" applyFill="1" applyBorder="1"/>
    <xf numFmtId="0" fontId="0" fillId="0" borderId="0" xfId="0" pivotButton="1"/>
    <xf numFmtId="0" fontId="0" fillId="0" borderId="0" xfId="0" applyAlignment="1">
      <alignment horizontal="left"/>
    </xf>
    <xf numFmtId="0" fontId="3" fillId="5" borderId="0" xfId="0" applyFont="1" applyFill="1"/>
    <xf numFmtId="0" fontId="0" fillId="5" borderId="6" xfId="0" applyFill="1" applyBorder="1"/>
    <xf numFmtId="0" fontId="0" fillId="5" borderId="8" xfId="0" applyFill="1" applyBorder="1"/>
    <xf numFmtId="0" fontId="0" fillId="3" borderId="2" xfId="0" applyFill="1" applyBorder="1"/>
    <xf numFmtId="0" fontId="3" fillId="5" borderId="2" xfId="0" applyFont="1" applyFill="1" applyBorder="1"/>
    <xf numFmtId="0" fontId="2" fillId="5" borderId="3" xfId="0" applyFont="1" applyFill="1" applyBorder="1"/>
    <xf numFmtId="0" fontId="3" fillId="5" borderId="3" xfId="0" applyFont="1" applyFill="1" applyBorder="1"/>
    <xf numFmtId="2" fontId="0" fillId="5" borderId="8" xfId="0" applyNumberFormat="1" applyFill="1" applyBorder="1"/>
    <xf numFmtId="0" fontId="13" fillId="5" borderId="0" xfId="0" applyFont="1" applyFill="1"/>
    <xf numFmtId="0" fontId="1" fillId="3" borderId="1" xfId="0" applyFont="1" applyFill="1" applyBorder="1"/>
    <xf numFmtId="2" fontId="0" fillId="5" borderId="2" xfId="0" applyNumberFormat="1" applyFill="1" applyBorder="1"/>
    <xf numFmtId="2" fontId="0" fillId="5" borderId="3" xfId="0" applyNumberFormat="1" applyFill="1" applyBorder="1"/>
    <xf numFmtId="2" fontId="1" fillId="5" borderId="0" xfId="0" applyNumberFormat="1" applyFont="1" applyFill="1"/>
    <xf numFmtId="2" fontId="1" fillId="5" borderId="5" xfId="0" applyNumberFormat="1" applyFont="1" applyFill="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165" fontId="0" fillId="5" borderId="0" xfId="0" applyNumberFormat="1" applyFill="1"/>
    <xf numFmtId="0" fontId="1" fillId="5" borderId="6" xfId="0" applyFont="1" applyFill="1" applyBorder="1"/>
    <xf numFmtId="2" fontId="1" fillId="5" borderId="7" xfId="0" applyNumberFormat="1" applyFont="1" applyFill="1" applyBorder="1"/>
    <xf numFmtId="0" fontId="1" fillId="5" borderId="7" xfId="0" applyFont="1" applyFill="1" applyBorder="1"/>
    <xf numFmtId="165" fontId="1" fillId="5" borderId="7" xfId="0" applyNumberFormat="1" applyFont="1" applyFill="1" applyBorder="1"/>
    <xf numFmtId="2" fontId="1" fillId="5" borderId="8" xfId="0" applyNumberFormat="1" applyFont="1" applyFill="1" applyBorder="1"/>
    <xf numFmtId="0" fontId="12" fillId="5" borderId="0" xfId="0" applyFont="1" applyFill="1"/>
    <xf numFmtId="0" fontId="1" fillId="4" borderId="1" xfId="0" applyFont="1" applyFill="1" applyBorder="1"/>
    <xf numFmtId="0" fontId="0" fillId="4" borderId="2" xfId="0" applyFill="1" applyBorder="1"/>
    <xf numFmtId="0" fontId="1" fillId="4" borderId="3" xfId="0" applyFont="1" applyFill="1" applyBorder="1"/>
    <xf numFmtId="0" fontId="1" fillId="3" borderId="3" xfId="0" applyFont="1" applyFill="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5" xfId="0" applyFont="1" applyBorder="1" applyAlignment="1">
      <alignment horizontal="left"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pivotSource>
    <c:name>[Klimaregnskab for gartnerierhvervet.xlsx]Ark4!Pivottabel2</c:name>
    <c:fmtId val="5"/>
  </c:pivotSource>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solidFill>
                  <a:sysClr val="windowText" lastClr="000000"/>
                </a:solidFill>
              </a:rPr>
              <a:t>Forbrug og fremskrevet</a:t>
            </a:r>
            <a:r>
              <a:rPr lang="da-DK" sz="1600" baseline="0">
                <a:solidFill>
                  <a:sysClr val="windowText" lastClr="000000"/>
                </a:solidFill>
              </a:rPr>
              <a:t> forbrug af kul og koks, fuel- og gasolie</a:t>
            </a:r>
            <a:endParaRPr lang="da-DK" sz="1600">
              <a:solidFill>
                <a:sysClr val="windowText" lastClr="000000"/>
              </a:solidFill>
            </a:endParaRPr>
          </a:p>
        </c:rich>
      </c:tx>
      <c:layout>
        <c:manualLayout>
          <c:xMode val="edge"/>
          <c:yMode val="edge"/>
          <c:x val="4.4916960763673811E-2"/>
          <c:y val="3.3078867151983674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ivotFmts>
      <c:pivotFmt>
        <c:idx val="0"/>
        <c:spPr>
          <a:ln w="38100"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
        <c:spPr>
          <a:ln w="38100" cap="rnd">
            <a:solidFill>
              <a:schemeClr val="tx2">
                <a:lumMod val="50000"/>
                <a:lumOff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
        <c:spPr>
          <a:ln w="38100"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258503125253675"/>
          <c:y val="0.11562837225125834"/>
          <c:w val="0.65150078691755442"/>
          <c:h val="0.78281509774795222"/>
        </c:manualLayout>
      </c:layout>
      <c:lineChart>
        <c:grouping val="standard"/>
        <c:varyColors val="0"/>
        <c:ser>
          <c:idx val="0"/>
          <c:order val="0"/>
          <c:tx>
            <c:strRef>
              <c:f>'Ark4'!$B$16</c:f>
              <c:strCache>
                <c:ptCount val="1"/>
                <c:pt idx="0">
                  <c:v>Kul og koks forbrug</c:v>
                </c:pt>
              </c:strCache>
            </c:strRef>
          </c:tx>
          <c:spPr>
            <a:ln w="38100" cap="rnd">
              <a:solidFill>
                <a:schemeClr val="tx1"/>
              </a:solidFill>
              <a:round/>
            </a:ln>
            <a:effectLst/>
          </c:spPr>
          <c:marker>
            <c:symbol val="none"/>
          </c:marker>
          <c:trendline>
            <c:spPr>
              <a:ln w="19050" cap="rnd">
                <a:solidFill>
                  <a:schemeClr val="tx1"/>
                </a:solidFill>
                <a:prstDash val="sysDot"/>
              </a:ln>
              <a:effectLst/>
            </c:spPr>
            <c:trendlineType val="linear"/>
            <c:dispRSqr val="0"/>
            <c:dispEq val="0"/>
          </c:trendline>
          <c:cat>
            <c:strRef>
              <c:f>'Ark4'!$A$17:$A$28</c:f>
              <c:strCache>
                <c:ptCount val="11"/>
                <c:pt idx="0">
                  <c:v>2005</c:v>
                </c:pt>
                <c:pt idx="1">
                  <c:v>2008</c:v>
                </c:pt>
                <c:pt idx="2">
                  <c:v>2011</c:v>
                </c:pt>
                <c:pt idx="3">
                  <c:v>2014</c:v>
                </c:pt>
                <c:pt idx="4">
                  <c:v>2017</c:v>
                </c:pt>
                <c:pt idx="5">
                  <c:v>2020</c:v>
                </c:pt>
                <c:pt idx="6">
                  <c:v>2023</c:v>
                </c:pt>
                <c:pt idx="7">
                  <c:v>2026</c:v>
                </c:pt>
                <c:pt idx="8">
                  <c:v>2029</c:v>
                </c:pt>
                <c:pt idx="9">
                  <c:v>2032</c:v>
                </c:pt>
                <c:pt idx="10">
                  <c:v>2035</c:v>
                </c:pt>
              </c:strCache>
            </c:strRef>
          </c:cat>
          <c:val>
            <c:numRef>
              <c:f>'Ark4'!$B$17:$B$28</c:f>
              <c:numCache>
                <c:formatCode>General</c:formatCode>
                <c:ptCount val="11"/>
                <c:pt idx="0">
                  <c:v>758</c:v>
                </c:pt>
                <c:pt idx="1">
                  <c:v>815</c:v>
                </c:pt>
                <c:pt idx="2">
                  <c:v>644</c:v>
                </c:pt>
                <c:pt idx="3">
                  <c:v>354</c:v>
                </c:pt>
                <c:pt idx="4">
                  <c:v>273</c:v>
                </c:pt>
                <c:pt idx="5">
                  <c:v>180</c:v>
                </c:pt>
                <c:pt idx="6">
                  <c:v>82</c:v>
                </c:pt>
                <c:pt idx="7">
                  <c:v>51.777777777777779</c:v>
                </c:pt>
                <c:pt idx="8">
                  <c:v>21.555555555555557</c:v>
                </c:pt>
                <c:pt idx="9">
                  <c:v>-8.6666666666666643</c:v>
                </c:pt>
                <c:pt idx="10">
                  <c:v>-38.888888888888886</c:v>
                </c:pt>
              </c:numCache>
            </c:numRef>
          </c:val>
          <c:smooth val="0"/>
          <c:extLst>
            <c:ext xmlns:c16="http://schemas.microsoft.com/office/drawing/2014/chart" uri="{C3380CC4-5D6E-409C-BE32-E72D297353CC}">
              <c16:uniqueId val="{00000000-121E-44B3-9B94-7E66773EEBDB}"/>
            </c:ext>
          </c:extLst>
        </c:ser>
        <c:ser>
          <c:idx val="1"/>
          <c:order val="1"/>
          <c:tx>
            <c:strRef>
              <c:f>'Ark4'!$C$16</c:f>
              <c:strCache>
                <c:ptCount val="1"/>
                <c:pt idx="0">
                  <c:v>Fuelolie forbrug</c:v>
                </c:pt>
              </c:strCache>
            </c:strRef>
          </c:tx>
          <c:spPr>
            <a:ln w="38100" cap="rnd">
              <a:solidFill>
                <a:schemeClr val="tx2">
                  <a:lumMod val="50000"/>
                  <a:lumOff val="50000"/>
                </a:schemeClr>
              </a:solidFill>
              <a:round/>
            </a:ln>
            <a:effectLst/>
          </c:spPr>
          <c:marker>
            <c:symbol val="none"/>
          </c:marker>
          <c:trendline>
            <c:spPr>
              <a:ln w="19050" cap="rnd">
                <a:solidFill>
                  <a:schemeClr val="tx2">
                    <a:lumMod val="50000"/>
                    <a:lumOff val="50000"/>
                  </a:schemeClr>
                </a:solidFill>
                <a:prstDash val="sysDot"/>
              </a:ln>
              <a:effectLst/>
            </c:spPr>
            <c:trendlineType val="linear"/>
            <c:dispRSqr val="0"/>
            <c:dispEq val="0"/>
          </c:trendline>
          <c:cat>
            <c:strRef>
              <c:f>'Ark4'!$A$17:$A$28</c:f>
              <c:strCache>
                <c:ptCount val="11"/>
                <c:pt idx="0">
                  <c:v>2005</c:v>
                </c:pt>
                <c:pt idx="1">
                  <c:v>2008</c:v>
                </c:pt>
                <c:pt idx="2">
                  <c:v>2011</c:v>
                </c:pt>
                <c:pt idx="3">
                  <c:v>2014</c:v>
                </c:pt>
                <c:pt idx="4">
                  <c:v>2017</c:v>
                </c:pt>
                <c:pt idx="5">
                  <c:v>2020</c:v>
                </c:pt>
                <c:pt idx="6">
                  <c:v>2023</c:v>
                </c:pt>
                <c:pt idx="7">
                  <c:v>2026</c:v>
                </c:pt>
                <c:pt idx="8">
                  <c:v>2029</c:v>
                </c:pt>
                <c:pt idx="9">
                  <c:v>2032</c:v>
                </c:pt>
                <c:pt idx="10">
                  <c:v>2035</c:v>
                </c:pt>
              </c:strCache>
            </c:strRef>
          </c:cat>
          <c:val>
            <c:numRef>
              <c:f>'Ark4'!$C$17:$C$28</c:f>
              <c:numCache>
                <c:formatCode>General</c:formatCode>
                <c:ptCount val="11"/>
                <c:pt idx="0">
                  <c:v>915</c:v>
                </c:pt>
                <c:pt idx="1">
                  <c:v>619</c:v>
                </c:pt>
                <c:pt idx="2">
                  <c:v>325</c:v>
                </c:pt>
                <c:pt idx="3">
                  <c:v>123</c:v>
                </c:pt>
                <c:pt idx="4">
                  <c:v>43</c:v>
                </c:pt>
                <c:pt idx="5">
                  <c:v>68</c:v>
                </c:pt>
                <c:pt idx="6">
                  <c:v>38</c:v>
                </c:pt>
                <c:pt idx="7">
                  <c:v>28.555555555555557</c:v>
                </c:pt>
                <c:pt idx="8">
                  <c:v>19.111111111111114</c:v>
                </c:pt>
                <c:pt idx="9">
                  <c:v>9.6666666666666696</c:v>
                </c:pt>
                <c:pt idx="10">
                  <c:v>0.22222222222222499</c:v>
                </c:pt>
              </c:numCache>
            </c:numRef>
          </c:val>
          <c:smooth val="0"/>
          <c:extLst>
            <c:ext xmlns:c16="http://schemas.microsoft.com/office/drawing/2014/chart" uri="{C3380CC4-5D6E-409C-BE32-E72D297353CC}">
              <c16:uniqueId val="{00000001-121E-44B3-9B94-7E66773EEBDB}"/>
            </c:ext>
          </c:extLst>
        </c:ser>
        <c:ser>
          <c:idx val="2"/>
          <c:order val="2"/>
          <c:tx>
            <c:strRef>
              <c:f>'Ark4'!$D$16</c:f>
              <c:strCache>
                <c:ptCount val="1"/>
                <c:pt idx="0">
                  <c:v>Gasolie forbrug</c:v>
                </c:pt>
              </c:strCache>
            </c:strRef>
          </c:tx>
          <c:spPr>
            <a:ln w="38100" cap="rnd">
              <a:solidFill>
                <a:schemeClr val="accent5"/>
              </a:solidFill>
              <a:round/>
            </a:ln>
            <a:effectLst/>
          </c:spPr>
          <c:marker>
            <c:symbol val="none"/>
          </c:marker>
          <c:trendline>
            <c:spPr>
              <a:ln w="19050" cap="rnd">
                <a:solidFill>
                  <a:schemeClr val="accent5"/>
                </a:solidFill>
                <a:prstDash val="sysDot"/>
              </a:ln>
              <a:effectLst/>
            </c:spPr>
            <c:trendlineType val="linear"/>
            <c:dispRSqr val="0"/>
            <c:dispEq val="0"/>
          </c:trendline>
          <c:cat>
            <c:strRef>
              <c:f>'Ark4'!$A$17:$A$28</c:f>
              <c:strCache>
                <c:ptCount val="11"/>
                <c:pt idx="0">
                  <c:v>2005</c:v>
                </c:pt>
                <c:pt idx="1">
                  <c:v>2008</c:v>
                </c:pt>
                <c:pt idx="2">
                  <c:v>2011</c:v>
                </c:pt>
                <c:pt idx="3">
                  <c:v>2014</c:v>
                </c:pt>
                <c:pt idx="4">
                  <c:v>2017</c:v>
                </c:pt>
                <c:pt idx="5">
                  <c:v>2020</c:v>
                </c:pt>
                <c:pt idx="6">
                  <c:v>2023</c:v>
                </c:pt>
                <c:pt idx="7">
                  <c:v>2026</c:v>
                </c:pt>
                <c:pt idx="8">
                  <c:v>2029</c:v>
                </c:pt>
                <c:pt idx="9">
                  <c:v>2032</c:v>
                </c:pt>
                <c:pt idx="10">
                  <c:v>2035</c:v>
                </c:pt>
              </c:strCache>
            </c:strRef>
          </c:cat>
          <c:val>
            <c:numRef>
              <c:f>'Ark4'!$D$17:$D$28</c:f>
              <c:numCache>
                <c:formatCode>General</c:formatCode>
                <c:ptCount val="11"/>
                <c:pt idx="0">
                  <c:v>231</c:v>
                </c:pt>
                <c:pt idx="1">
                  <c:v>553</c:v>
                </c:pt>
                <c:pt idx="2">
                  <c:v>95</c:v>
                </c:pt>
                <c:pt idx="3">
                  <c:v>114</c:v>
                </c:pt>
                <c:pt idx="4">
                  <c:v>127</c:v>
                </c:pt>
                <c:pt idx="5">
                  <c:v>164</c:v>
                </c:pt>
                <c:pt idx="6">
                  <c:v>78</c:v>
                </c:pt>
                <c:pt idx="7">
                  <c:v>74</c:v>
                </c:pt>
                <c:pt idx="8">
                  <c:v>70</c:v>
                </c:pt>
                <c:pt idx="9">
                  <c:v>66</c:v>
                </c:pt>
                <c:pt idx="10">
                  <c:v>62</c:v>
                </c:pt>
              </c:numCache>
            </c:numRef>
          </c:val>
          <c:smooth val="0"/>
          <c:extLst>
            <c:ext xmlns:c16="http://schemas.microsoft.com/office/drawing/2014/chart" uri="{C3380CC4-5D6E-409C-BE32-E72D297353CC}">
              <c16:uniqueId val="{00000002-121E-44B3-9B94-7E66773EEBDB}"/>
            </c:ext>
          </c:extLst>
        </c:ser>
        <c:dLbls>
          <c:showLegendKey val="0"/>
          <c:showVal val="0"/>
          <c:showCatName val="0"/>
          <c:showSerName val="0"/>
          <c:showPercent val="0"/>
          <c:showBubbleSize val="0"/>
        </c:dLbls>
        <c:smooth val="0"/>
        <c:axId val="998053519"/>
        <c:axId val="998067439"/>
      </c:lineChart>
      <c:catAx>
        <c:axId val="998053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a-DK"/>
          </a:p>
        </c:txPr>
        <c:crossAx val="998067439"/>
        <c:crosses val="autoZero"/>
        <c:auto val="1"/>
        <c:lblAlgn val="ctr"/>
        <c:lblOffset val="100"/>
        <c:noMultiLvlLbl val="0"/>
      </c:catAx>
      <c:valAx>
        <c:axId val="998067439"/>
        <c:scaling>
          <c:orientation val="minMax"/>
          <c:max val="950"/>
          <c:min val="0"/>
        </c:scaling>
        <c:delete val="0"/>
        <c:axPos val="l"/>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da-DK" sz="1400">
                    <a:solidFill>
                      <a:sysClr val="windowText" lastClr="000000"/>
                    </a:solidFill>
                  </a:rPr>
                  <a:t>1.000 GJ</a:t>
                </a:r>
              </a:p>
            </c:rich>
          </c:tx>
          <c:layout>
            <c:manualLayout>
              <c:xMode val="edge"/>
              <c:yMode val="edge"/>
              <c:x val="1.0447294581395575E-2"/>
              <c:y val="0.4044515237382778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a-DK"/>
          </a:p>
        </c:txPr>
        <c:crossAx val="998053519"/>
        <c:crosses val="autoZero"/>
        <c:crossBetween val="between"/>
      </c:valAx>
      <c:spPr>
        <a:noFill/>
        <a:ln>
          <a:noFill/>
        </a:ln>
        <a:effectLst/>
      </c:spPr>
    </c:plotArea>
    <c:legend>
      <c:legendPos val="r"/>
      <c:legendEntry>
        <c:idx val="3"/>
        <c:delete val="1"/>
      </c:legendEntry>
      <c:legendEntry>
        <c:idx val="4"/>
        <c:delete val="1"/>
      </c:legendEntry>
      <c:legendEntry>
        <c:idx val="5"/>
        <c:delete val="1"/>
      </c:legendEntry>
      <c:layout>
        <c:manualLayout>
          <c:xMode val="edge"/>
          <c:yMode val="edge"/>
          <c:x val="0.75004640724899208"/>
          <c:y val="0.4823045091044022"/>
          <c:w val="0.21102406620453992"/>
          <c:h val="0.1565143329068410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57150</xdr:rowOff>
    </xdr:from>
    <xdr:to>
      <xdr:col>2</xdr:col>
      <xdr:colOff>514350</xdr:colOff>
      <xdr:row>3</xdr:row>
      <xdr:rowOff>347768</xdr:rowOff>
    </xdr:to>
    <xdr:pic>
      <xdr:nvPicPr>
        <xdr:cNvPr id="2" name="Billede 1" descr="Os der gror i Danmark | Dansk frugt og grønt i verdensklasse">
          <a:extLst>
            <a:ext uri="{FF2B5EF4-FFF2-40B4-BE49-F238E27FC236}">
              <a16:creationId xmlns:a16="http://schemas.microsoft.com/office/drawing/2014/main" id="{852C3878-24AF-91F8-064A-DD321FA44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7150"/>
          <a:ext cx="2505075" cy="890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xdr:colOff>
      <xdr:row>0</xdr:row>
      <xdr:rowOff>209548</xdr:rowOff>
    </xdr:from>
    <xdr:to>
      <xdr:col>21</xdr:col>
      <xdr:colOff>323850</xdr:colOff>
      <xdr:row>39</xdr:row>
      <xdr:rowOff>133350</xdr:rowOff>
    </xdr:to>
    <xdr:sp macro="" textlink="">
      <xdr:nvSpPr>
        <xdr:cNvPr id="3" name="Tekstfelt 2">
          <a:extLst>
            <a:ext uri="{FF2B5EF4-FFF2-40B4-BE49-F238E27FC236}">
              <a16:creationId xmlns:a16="http://schemas.microsoft.com/office/drawing/2014/main" id="{53A2A8B4-2566-816A-964B-754FFF57B478}"/>
            </a:ext>
          </a:extLst>
        </xdr:cNvPr>
        <xdr:cNvSpPr txBox="1"/>
      </xdr:nvSpPr>
      <xdr:spPr>
        <a:xfrm>
          <a:off x="12163425" y="209548"/>
          <a:ext cx="4581525" cy="7477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t>Om klimaregnskabet </a:t>
          </a:r>
          <a:br>
            <a:rPr lang="da-DK" sz="1200"/>
          </a:br>
          <a:br>
            <a:rPr lang="da-DK" sz="1200"/>
          </a:br>
          <a:r>
            <a:rPr lang="da-DK" sz="1200"/>
            <a:t>Dette klimaregnskab er udarbejdet af Dansk Gartneri og opgør et GHG-inventar over CO₂-emissioner fra energi- og elektricitetsforbrug fra danske væksthusgartnerier.</a:t>
          </a:r>
          <a:br>
            <a:rPr lang="da-DK" sz="1200"/>
          </a:br>
          <a:endParaRPr lang="da-DK" sz="1200"/>
        </a:p>
        <a:p>
          <a:r>
            <a:rPr lang="da-DK" sz="1200"/>
            <a:t>Regnskabet følger GHG-protokollens overordnede retningslinjer. Den fulde rapport, herunder metodiske valg og afgrænsninger, kan findes på Dansk</a:t>
          </a:r>
          <a:r>
            <a:rPr lang="da-DK" sz="1200" baseline="0"/>
            <a:t> Gartneris hjemmeside</a:t>
          </a:r>
          <a:r>
            <a:rPr lang="da-DK" sz="1200"/>
            <a:t>.</a:t>
          </a:r>
          <a:br>
            <a:rPr lang="da-DK" sz="1200"/>
          </a:br>
          <a:endParaRPr lang="da-DK" sz="1200"/>
        </a:p>
        <a:p>
          <a:r>
            <a:rPr lang="da-DK" sz="1200"/>
            <a:t>Formålet med klimaregnskabet er at etablere en baseline for gartnerierhvervets bæredygtighedsarbejde og klimapåvirkning. De anvendte scopes og kategorier er udvalgt med fokus på sektorrelevante klima-hotspots, hvor målrettede tiltag vurderes at kunne reducere erhvervets CO₂-emissioner markant.</a:t>
          </a:r>
          <a:r>
            <a:rPr lang="da-DK" sz="1200" baseline="0"/>
            <a:t> </a:t>
          </a:r>
          <a:r>
            <a:rPr lang="da-DK" sz="1200"/>
            <a:t>Afgrænsningen afspejler samtidig de områder, hvor der findes valide og detaljerede branchedata – en forudsætning for et troværdigt klimaregnskab og for at kunne følge op på målsætningerne over tid.</a:t>
          </a:r>
          <a:br>
            <a:rPr lang="da-DK" sz="1200"/>
          </a:br>
          <a:br>
            <a:rPr lang="da-DK" sz="1200"/>
          </a:br>
          <a:r>
            <a:rPr lang="da-DK" sz="1200"/>
            <a:t>Branchedata for transportrelaterede udledninger (Scope 1 – </a:t>
          </a:r>
          <a:r>
            <a:rPr lang="da-DK" sz="1200" i="1"/>
            <a:t>Mobile Combustion</a:t>
          </a:r>
          <a:r>
            <a:rPr lang="da-DK" sz="1200"/>
            <a:t>) er ikke tilgængelige på nuværende tidspunkt og er derfor udeladt. Det vurderes dog, at denne kategori udgør en relativt begrænset andel af de samlede Scope 1 emissioner i gartnerierhvervet</a:t>
          </a:r>
          <a:br>
            <a:rPr lang="da-DK" sz="1200"/>
          </a:br>
          <a:endParaRPr lang="da-DK" sz="1200"/>
        </a:p>
        <a:p>
          <a:r>
            <a:rPr lang="da-DK" sz="1200"/>
            <a:t>Det er Dansk Gartneris hensigt løbende at udvide klimaregnskabet til også at inkludere Scope 1-kategorien </a:t>
          </a:r>
          <a:r>
            <a:rPr lang="da-DK" sz="1200" i="1"/>
            <a:t>Fugitive Emissions</a:t>
          </a:r>
          <a:r>
            <a:rPr lang="da-DK" sz="1200"/>
            <a:t>, relevante Scope 3-kategorier samt udvidelse til CO₂e, med henblik på at opnå en mere akkurat opgørelse af erhvervets samlede drivhusgasemissioner.</a:t>
          </a:r>
          <a:br>
            <a:rPr lang="da-DK" sz="1200"/>
          </a:br>
          <a:endParaRPr lang="da-DK" sz="1200"/>
        </a:p>
        <a:p>
          <a:r>
            <a:rPr lang="da-DK" sz="1200" b="1"/>
            <a:t>Bemærk</a:t>
          </a:r>
          <a:r>
            <a:rPr lang="da-DK" sz="1200"/>
            <a:t>: Dette klimaregnskab er baseret på tilgængelige branchedata og officielle standardemissionsfaktorer. Regnskabet er ikke tredjepartsverificeret, og der bør tages forbehold for eventuelle usikkerheder og metodiske begrænsninger. Anvendelse af tallene bør ske med behørig hensyntagen til disse forudsætninger.</a:t>
          </a:r>
          <a:br>
            <a:rPr lang="da-DK" sz="1200"/>
          </a:br>
          <a:br>
            <a:rPr lang="da-DK" sz="1200"/>
          </a:br>
          <a:endParaRPr lang="da-DK" sz="1200"/>
        </a:p>
        <a:p>
          <a:br>
            <a:rPr lang="da-DK" sz="1200" baseline="0"/>
          </a:br>
          <a:endParaRPr lang="da-DK"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2</xdr:col>
      <xdr:colOff>533400</xdr:colOff>
      <xdr:row>5</xdr:row>
      <xdr:rowOff>33443</xdr:rowOff>
    </xdr:to>
    <xdr:pic>
      <xdr:nvPicPr>
        <xdr:cNvPr id="2" name="Billede 1" descr="Os der gror i Danmark | Dansk frugt og grønt i verdensklasse">
          <a:extLst>
            <a:ext uri="{FF2B5EF4-FFF2-40B4-BE49-F238E27FC236}">
              <a16:creationId xmlns:a16="http://schemas.microsoft.com/office/drawing/2014/main" id="{D3F30A51-D47E-4FCA-831F-F5D86408E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2505075" cy="890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8</xdr:row>
      <xdr:rowOff>95248</xdr:rowOff>
    </xdr:from>
    <xdr:to>
      <xdr:col>16</xdr:col>
      <xdr:colOff>533400</xdr:colOff>
      <xdr:row>41</xdr:row>
      <xdr:rowOff>57150</xdr:rowOff>
    </xdr:to>
    <xdr:graphicFrame macro="">
      <xdr:nvGraphicFramePr>
        <xdr:cNvPr id="3" name="Diagram 2">
          <a:extLst>
            <a:ext uri="{FF2B5EF4-FFF2-40B4-BE49-F238E27FC236}">
              <a16:creationId xmlns:a16="http://schemas.microsoft.com/office/drawing/2014/main" id="{E7CEE1D8-4978-89FD-1B7E-6943569EEF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olle Marie Hinchely Kyhn" id="{E097CBFD-D28E-4AB2-A432-1F61B9CBD841}" userId="S::momh@danskgartneri.dk::4227b7ed-6767-48c5-be64-b61d735e3e1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lle Marie Hinchely Kyhn" refreshedDate="45873.612330555552" createdVersion="8" refreshedVersion="8" minRefreshableVersion="3" recordCount="7" xr:uid="{FD5475F7-D027-4D63-939F-5339D7BAD7D7}">
  <cacheSource type="worksheet">
    <worksheetSource ref="B45:F52" sheet="Emissioner over tid"/>
  </cacheSource>
  <cacheFields count="5">
    <cacheField name="År" numFmtId="0">
      <sharedItems containsSemiMixedTypes="0" containsString="0" containsNumber="1" containsInteger="1" minValue="2005" maxValue="2023" count="7">
        <n v="2023"/>
        <n v="2020"/>
        <n v="2017"/>
        <n v="2014"/>
        <n v="2011"/>
        <n v="2008"/>
        <n v="2005"/>
      </sharedItems>
    </cacheField>
    <cacheField name="Scope 1" numFmtId="0">
      <sharedItems containsSemiMixedTypes="0" containsString="0" containsNumber="1" minValue="39078.310000000005" maxValue="301980.01"/>
    </cacheField>
    <cacheField name="Scope 2" numFmtId="2">
      <sharedItems containsSemiMixedTypes="0" containsString="0" containsNumber="1" minValue="30168.359564150411" maxValue="230601.60000000001"/>
    </cacheField>
    <cacheField name="Biogent materiale" numFmtId="0">
      <sharedItems containsSemiMixedTypes="0" containsString="0" containsNumber="1" minValue="1928.5" maxValue="10048.5"/>
    </cacheField>
    <cacheField name="Total (ton CO2/TJ)" numFmtId="2">
      <sharedItems containsSemiMixedTypes="0" containsString="0" containsNumber="1" minValue="79295.169564150419" maxValue="534611.6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lle Marie Hinchely Kyhn" refreshedDate="45874.574975462965" createdVersion="8" refreshedVersion="8" minRefreshableVersion="3" recordCount="13" xr:uid="{16F39904-1A30-41CC-8CBE-F80EA55EA1BD}">
  <cacheSource type="worksheet">
    <worksheetSource ref="B26:F39" sheet="Målsætninger"/>
  </cacheSource>
  <cacheFields count="5">
    <cacheField name="År" numFmtId="0">
      <sharedItems containsSemiMixedTypes="0" containsString="0" containsNumber="1" containsInteger="1" minValue="2005" maxValue="2041" count="13">
        <n v="2005"/>
        <n v="2008"/>
        <n v="2011"/>
        <n v="2014"/>
        <n v="2017"/>
        <n v="2020"/>
        <n v="2023"/>
        <n v="2026"/>
        <n v="2029"/>
        <n v="2032"/>
        <n v="2035"/>
        <n v="2038"/>
        <n v="2041"/>
      </sharedItems>
    </cacheField>
    <cacheField name="Fuelolie" numFmtId="0">
      <sharedItems containsSemiMixedTypes="0" containsString="0" containsNumber="1" minValue="-18.666666666666664" maxValue="915"/>
    </cacheField>
    <cacheField name="Gasolie" numFmtId="0">
      <sharedItems containsSemiMixedTypes="0" containsString="0" containsNumber="1" containsInteger="1" minValue="54" maxValue="553"/>
    </cacheField>
    <cacheField name="Naturgas" numFmtId="0">
      <sharedItems containsSemiMixedTypes="0" containsString="0" containsNumber="1" minValue="-136.99999999999994" maxValue="2359"/>
    </cacheField>
    <cacheField name="Kul og koks" numFmtId="0">
      <sharedItems containsSemiMixedTypes="0" containsString="0" containsNumber="1" minValue="-99.333333333333343" maxValue="8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n v="39078.310000000005"/>
    <n v="30168.359564150411"/>
    <n v="10048.5"/>
    <n v="79295.169564150419"/>
  </r>
  <r>
    <x v="1"/>
    <n v="95838.34"/>
    <n v="40608.468065251182"/>
    <n v="4060"/>
    <n v="140506.80806525119"/>
  </r>
  <r>
    <x v="2"/>
    <n v="110646.9"/>
    <n v="72377.125775082124"/>
    <n v="7815.5"/>
    <n v="190839.52577508212"/>
  </r>
  <r>
    <x v="3"/>
    <n v="120254.06999999999"/>
    <n v="83078.493130312185"/>
    <n v="3248"/>
    <n v="206580.56313031219"/>
  </r>
  <r>
    <x v="4"/>
    <n v="185099.03"/>
    <n v="150927.52000000002"/>
    <n v="1928.5"/>
    <n v="337955.05000000005"/>
  </r>
  <r>
    <x v="5"/>
    <n v="255264.86"/>
    <n v="182595.3"/>
    <n v="2740.5"/>
    <n v="440600.66"/>
  </r>
  <r>
    <x v="6"/>
    <n v="301980.01"/>
    <n v="230601.60000000001"/>
    <n v="2030"/>
    <n v="534611.6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n v="915"/>
    <n v="231"/>
    <n v="2359"/>
    <n v="758"/>
  </r>
  <r>
    <x v="1"/>
    <n v="619"/>
    <n v="553"/>
    <n v="1468"/>
    <n v="815"/>
  </r>
  <r>
    <x v="2"/>
    <n v="325"/>
    <n v="95"/>
    <n v="1539"/>
    <n v="644"/>
  </r>
  <r>
    <x v="3"/>
    <n v="123"/>
    <n v="114"/>
    <n v="1173"/>
    <n v="354"/>
  </r>
  <r>
    <x v="4"/>
    <n v="43"/>
    <n v="127"/>
    <n v="1234"/>
    <n v="273"/>
  </r>
  <r>
    <x v="5"/>
    <n v="68"/>
    <n v="164"/>
    <n v="1084"/>
    <n v="180"/>
  </r>
  <r>
    <x v="6"/>
    <n v="38"/>
    <n v="78"/>
    <n v="387"/>
    <n v="82"/>
  </r>
  <r>
    <x v="7"/>
    <n v="28.555555555555557"/>
    <n v="74"/>
    <n v="299.66666666666669"/>
    <n v="51.777777777777779"/>
  </r>
  <r>
    <x v="8"/>
    <n v="19.111111111111114"/>
    <n v="70"/>
    <n v="212.33333333333337"/>
    <n v="21.555555555555557"/>
  </r>
  <r>
    <x v="9"/>
    <n v="9.6666666666666696"/>
    <n v="66"/>
    <n v="125.00000000000004"/>
    <n v="-8.6666666666666643"/>
  </r>
  <r>
    <x v="10"/>
    <n v="0.22222222222222499"/>
    <n v="62"/>
    <n v="37.666666666666714"/>
    <n v="-38.888888888888886"/>
  </r>
  <r>
    <x v="11"/>
    <n v="-9.2222222222222197"/>
    <n v="58"/>
    <n v="-49.666666666666615"/>
    <n v="-69.111111111111114"/>
  </r>
  <r>
    <x v="12"/>
    <n v="-18.666666666666664"/>
    <n v="54"/>
    <n v="-136.99999999999994"/>
    <n v="-99.3333333333333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451F21A-AB07-4474-A39F-3F9B0C97A0A1}" name="Pivottabel2" cacheId="1"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chartFormat="11">
  <location ref="A16:D28" firstHeaderRow="0" firstDataRow="1" firstDataCol="1"/>
  <pivotFields count="5">
    <pivotField axis="axisRow" showAll="0">
      <items count="14">
        <item x="0"/>
        <item x="1"/>
        <item x="2"/>
        <item x="3"/>
        <item x="4"/>
        <item x="5"/>
        <item x="6"/>
        <item x="7"/>
        <item x="8"/>
        <item x="9"/>
        <item x="10"/>
        <item h="1" x="11"/>
        <item h="1" x="12"/>
        <item t="default"/>
      </items>
    </pivotField>
    <pivotField dataField="1" showAll="0"/>
    <pivotField dataField="1" showAll="0"/>
    <pivotField showAll="0"/>
    <pivotField dataField="1" showAll="0"/>
  </pivotFields>
  <rowFields count="1">
    <field x="0"/>
  </rowFields>
  <rowItems count="12">
    <i>
      <x/>
    </i>
    <i>
      <x v="1"/>
    </i>
    <i>
      <x v="2"/>
    </i>
    <i>
      <x v="3"/>
    </i>
    <i>
      <x v="4"/>
    </i>
    <i>
      <x v="5"/>
    </i>
    <i>
      <x v="6"/>
    </i>
    <i>
      <x v="7"/>
    </i>
    <i>
      <x v="8"/>
    </i>
    <i>
      <x v="9"/>
    </i>
    <i>
      <x v="10"/>
    </i>
    <i t="grand">
      <x/>
    </i>
  </rowItems>
  <colFields count="1">
    <field x="-2"/>
  </colFields>
  <colItems count="3">
    <i>
      <x/>
    </i>
    <i i="1">
      <x v="1"/>
    </i>
    <i i="2">
      <x v="2"/>
    </i>
  </colItems>
  <dataFields count="3">
    <dataField name="Kul og koks forbrug" fld="4" baseField="0" baseItem="2"/>
    <dataField name="Fuelolie forbrug" fld="1" baseField="0" baseItem="2"/>
    <dataField name="Gasolie forbrug" fld="2" baseField="0" baseItem="2"/>
  </dataFields>
  <chartFormats count="3">
    <chartFormat chart="5"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1"/>
          </reference>
        </references>
      </pivotArea>
    </chartFormat>
    <chartFormat chart="5"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EE97090-FA27-40B5-873B-4877B14C6FE0}" name="Pivottabel1" cacheId="0" applyNumberFormats="0" applyBorderFormats="0" applyFontFormats="0" applyPatternFormats="0" applyAlignmentFormats="0" applyWidthHeightFormats="1" dataCaption="Værdier" updatedVersion="8" minRefreshableVersion="3" useAutoFormatting="1" itemPrintTitles="1" createdVersion="8" indent="0" outline="1" outlineData="1" multipleFieldFilters="0">
  <location ref="A3:E11" firstHeaderRow="0" firstDataRow="1" firstDataCol="1"/>
  <pivotFields count="5">
    <pivotField axis="axisRow" showAll="0">
      <items count="8">
        <item x="6"/>
        <item x="5"/>
        <item x="4"/>
        <item x="3"/>
        <item x="2"/>
        <item x="1"/>
        <item x="0"/>
        <item t="default"/>
      </items>
    </pivotField>
    <pivotField dataField="1" showAll="0"/>
    <pivotField dataField="1" numFmtId="2" showAll="0"/>
    <pivotField dataField="1" showAll="0"/>
    <pivotField dataField="1" numFmtId="2" showAll="0"/>
  </pivotFields>
  <rowFields count="1">
    <field x="0"/>
  </rowFields>
  <rowItems count="8">
    <i>
      <x/>
    </i>
    <i>
      <x v="1"/>
    </i>
    <i>
      <x v="2"/>
    </i>
    <i>
      <x v="3"/>
    </i>
    <i>
      <x v="4"/>
    </i>
    <i>
      <x v="5"/>
    </i>
    <i>
      <x v="6"/>
    </i>
    <i t="grand">
      <x/>
    </i>
  </rowItems>
  <colFields count="1">
    <field x="-2"/>
  </colFields>
  <colItems count="4">
    <i>
      <x/>
    </i>
    <i i="1">
      <x v="1"/>
    </i>
    <i i="2">
      <x v="2"/>
    </i>
    <i i="3">
      <x v="3"/>
    </i>
  </colItems>
  <dataFields count="4">
    <dataField name="Sum af Scope 1" fld="1" baseField="0" baseItem="0"/>
    <dataField name="Sum af Scope 2" fld="2" baseField="0" baseItem="0" numFmtId="2"/>
    <dataField name="Sum af Biogent materiale" fld="3" baseField="0" baseItem="0"/>
    <dataField name="Sum af Total (ton CO2/TJ)" fld="4" baseField="0" baseItem="0"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21" dT="2025-08-04T10:29:26.31" personId="{E097CBFD-D28E-4AB2-A432-1F61B9CBD841}" id="{C82462C1-652C-4923-BFBD-AD76EE0034A6}">
    <text>OBS EF fra 2015, 2014 N/A</text>
  </threadedComment>
  <threadedComment ref="F21" dT="2025-08-04T10:41:39.87" personId="{E097CBFD-D28E-4AB2-A432-1F61B9CBD841}" id="{48110EC7-78DB-41FA-A7D8-9F39504024AA}">
    <text>EF = 110 g CO₂/kWh = 0,110 kg CO₂/kWh = 0,11 ton CO₂/MWh. KILDE: COWI, omregnet til ton CO2/TJ</text>
  </threadedComment>
  <threadedComment ref="G21" dT="2025-08-04T11:40:03.64" personId="{E097CBFD-D28E-4AB2-A432-1F61B9CBD841}" id="{9E8EBF2B-E7DB-4A37-A38D-B5A1F931347F}">
    <text>EF = 0,114ton CO₂/MWh×277,78MWh/TJ=31,7t CO₂/TJ. Kilde: GREVE</text>
  </threadedComment>
  <threadedComment ref="H21" dT="2025-08-04T11:44:16.72" personId="{E097CBFD-D28E-4AB2-A432-1F61B9CBD841}" id="{F9BE496D-723F-4987-9EFE-59C219A5EACD}">
    <text>EF = 0,146ton/MWh×277,78MWh/TJ=40,5ton CO₂/TJ. KILDE: Københavns Kommune 2005</text>
  </threadedComment>
  <threadedComment ref="E22" dT="2025-08-04T10:28:54.73" personId="{E097CBFD-D28E-4AB2-A432-1F61B9CBD841}" id="{EF5D7B2C-625E-4835-9D04-759C9D40BB73}">
    <text>OBS EF fra 2015, 2014 N/A</text>
  </threadedComment>
  <threadedComment ref="F22" dT="2025-08-04T10:40:58.28" personId="{E097CBFD-D28E-4AB2-A432-1F61B9CBD841}" id="{257C95A0-9C1A-42A4-ACCD-0DF3B9B3D242}">
    <text>EF 0,426ton CO₂/MWh×277,78MWh/TJ=118.4ton CO₂/TJ. KILDE COWI, omregnet til ton CO2/TJ</text>
  </threadedComment>
  <threadedComment ref="G22" dT="2025-08-04T11:39:23.10" personId="{E097CBFD-D28E-4AB2-A432-1F61B9CBD841}" id="{EBBD0313-6661-42B0-85E5-A31F518445DB}">
    <text xml:space="preserve">EF = 0,506ton CO₂/MWh×277,78MWh/TJ=140,7t CO₂/TJ, KILDE: CO2-opgørelse 2008 For Greve Kommune som virksomhed </text>
  </threadedComment>
  <threadedComment ref="H22" dT="2025-08-04T11:43:40.70" personId="{E097CBFD-D28E-4AB2-A432-1F61B9CBD841}" id="{07E4480C-8DB8-4DB5-8120-78E03582D7B6}">
    <text>EF = 0,541ton/MWh×277,78MWh/TJ=150,3ton CO₂/TJ, KILDE Københavns Kommune 2005</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5-08-04T08:34:27.31" personId="{E097CBFD-D28E-4AB2-A432-1F61B9CBD841}" id="{964956F2-69DD-421A-8E93-F61DA8A768DC}">
    <text>Angivet som biomasse</text>
  </threadedComment>
  <threadedComment ref="H8" dT="2025-08-04T08:32:48.07" personId="{E097CBFD-D28E-4AB2-A432-1F61B9CBD841}" id="{9FE9FA19-758B-48F7-AAE2-497AB6F2F714}">
    <text>Angivet som biomasse</text>
  </threadedComment>
  <threadedComment ref="H9" dT="2025-08-04T08:30:04.94" personId="{E097CBFD-D28E-4AB2-A432-1F61B9CBD841}" id="{9E63C34B-25E1-4CDB-A756-C43A656B2285}">
    <text>Angivet som biomasse</text>
  </threadedComment>
  <threadedComment ref="H10" dT="2025-08-04T08:28:50.16" personId="{E097CBFD-D28E-4AB2-A432-1F61B9CBD841}" id="{BABF3D7A-7723-4D6E-964F-1AED2BAB9C08}">
    <text>Angivet som biomasse</text>
  </threadedComment>
</ThreadedComments>
</file>

<file path=xl/threadedComments/threadedComment3.xml><?xml version="1.0" encoding="utf-8"?>
<ThreadedComments xmlns="http://schemas.microsoft.com/office/spreadsheetml/2018/threadedcomments" xmlns:x="http://schemas.openxmlformats.org/spreadsheetml/2006/main">
  <threadedComment ref="A23" dT="2025-07-31T13:30:15.41" personId="{E097CBFD-D28E-4AB2-A432-1F61B9CBD841}" id="{A0711A64-911B-4AC9-B604-C9F6D49181F7}">
    <text>OBS gasolie i Tal om gartneriet, tjek</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8D09-1999-4184-A435-8761852F73F1}">
  <sheetPr codeName="Ark1"/>
  <dimension ref="A1:W46"/>
  <sheetViews>
    <sheetView tabSelected="1" zoomScale="90" zoomScaleNormal="90" workbookViewId="0">
      <selection activeCell="Y11" sqref="Y11"/>
    </sheetView>
  </sheetViews>
  <sheetFormatPr defaultRowHeight="12" x14ac:dyDescent="0.2"/>
  <cols>
    <col min="1" max="1" width="5.7109375" customWidth="1"/>
    <col min="2" max="2" width="27.28515625" customWidth="1"/>
    <col min="3" max="3" width="29.28515625" customWidth="1"/>
    <col min="4" max="4" width="11.42578125" customWidth="1"/>
    <col min="5" max="5" width="13.28515625" customWidth="1"/>
    <col min="6" max="6" width="18.42578125" customWidth="1"/>
    <col min="7" max="7" width="11.140625" customWidth="1"/>
    <col min="8" max="8" width="10.85546875" customWidth="1"/>
  </cols>
  <sheetData>
    <row r="1" spans="1:23" ht="23.25" customHeight="1" x14ac:dyDescent="0.2">
      <c r="A1" s="5"/>
      <c r="B1" s="5"/>
      <c r="C1" s="5"/>
      <c r="D1" s="5"/>
      <c r="E1" s="5"/>
      <c r="F1" s="5"/>
      <c r="G1" s="5"/>
      <c r="H1" s="5"/>
      <c r="I1" s="5"/>
      <c r="J1" s="5"/>
      <c r="K1" s="5"/>
      <c r="L1" s="5"/>
      <c r="M1" s="5"/>
      <c r="N1" s="5"/>
      <c r="O1" s="5"/>
      <c r="P1" s="5"/>
      <c r="Q1" s="5"/>
      <c r="R1" s="5"/>
      <c r="S1" s="5"/>
      <c r="T1" s="5"/>
      <c r="U1" s="5"/>
      <c r="V1" s="5"/>
      <c r="W1" s="5"/>
    </row>
    <row r="2" spans="1:23" x14ac:dyDescent="0.2">
      <c r="A2" s="5"/>
      <c r="C2" s="5"/>
      <c r="D2" s="5"/>
      <c r="E2" s="5"/>
      <c r="F2" s="5"/>
      <c r="G2" s="5"/>
      <c r="H2" s="5"/>
      <c r="I2" s="5"/>
      <c r="J2" s="5"/>
      <c r="K2" s="5"/>
      <c r="L2" s="5"/>
      <c r="M2" s="5"/>
      <c r="N2" s="5"/>
      <c r="O2" s="5"/>
      <c r="P2" s="5"/>
      <c r="Q2" s="5"/>
      <c r="R2" s="5"/>
      <c r="S2" s="5"/>
      <c r="T2" s="5"/>
      <c r="U2" s="5"/>
      <c r="V2" s="5"/>
      <c r="W2" s="5"/>
    </row>
    <row r="3" spans="1:23" x14ac:dyDescent="0.2">
      <c r="A3" s="5"/>
      <c r="B3" s="5"/>
      <c r="C3" s="5"/>
      <c r="D3" s="5"/>
      <c r="E3" s="5"/>
      <c r="F3" s="5"/>
      <c r="G3" s="5"/>
      <c r="H3" s="5"/>
      <c r="I3" s="5"/>
      <c r="J3" s="5"/>
      <c r="K3" s="5"/>
      <c r="L3" s="5"/>
      <c r="M3" s="5"/>
      <c r="N3" s="5"/>
      <c r="O3" s="5"/>
      <c r="P3" s="5"/>
      <c r="Q3" s="5"/>
      <c r="R3" s="5"/>
      <c r="S3" s="5"/>
      <c r="T3" s="5"/>
      <c r="U3" s="5"/>
      <c r="V3" s="5"/>
      <c r="W3" s="5"/>
    </row>
    <row r="4" spans="1:23" ht="39" customHeight="1" x14ac:dyDescent="0.2">
      <c r="A4" s="5"/>
      <c r="B4" s="5"/>
      <c r="C4" s="5"/>
      <c r="D4" s="30" t="s">
        <v>18</v>
      </c>
      <c r="E4" s="31"/>
      <c r="F4" s="32"/>
      <c r="G4" s="31"/>
      <c r="H4" s="32"/>
      <c r="I4" s="32"/>
      <c r="J4" s="5"/>
      <c r="K4" s="5"/>
      <c r="L4" s="33" t="s">
        <v>22</v>
      </c>
      <c r="M4" s="5"/>
      <c r="N4" s="5"/>
      <c r="O4" s="5"/>
      <c r="P4" s="5"/>
      <c r="Q4" s="5"/>
      <c r="R4" s="5"/>
      <c r="S4" s="5"/>
      <c r="T4" s="5"/>
      <c r="U4" s="5"/>
      <c r="V4" s="5"/>
      <c r="W4" s="5"/>
    </row>
    <row r="5" spans="1:23" ht="18" x14ac:dyDescent="0.25">
      <c r="A5" s="1"/>
      <c r="B5" s="2" t="s">
        <v>19</v>
      </c>
      <c r="C5" s="1"/>
      <c r="D5" s="1"/>
      <c r="E5" s="1"/>
      <c r="F5" s="1"/>
      <c r="G5" s="1"/>
      <c r="H5" s="1"/>
      <c r="I5" s="1"/>
      <c r="J5" s="1"/>
      <c r="K5" s="1"/>
      <c r="L5" s="1"/>
      <c r="M5" s="1"/>
      <c r="N5" s="5"/>
      <c r="O5" s="5"/>
      <c r="P5" s="5"/>
      <c r="Q5" s="5"/>
      <c r="R5" s="5"/>
      <c r="S5" s="5"/>
      <c r="T5" s="5"/>
      <c r="U5" s="5"/>
      <c r="V5" s="5"/>
      <c r="W5" s="5"/>
    </row>
    <row r="6" spans="1:23" ht="20.25" customHeight="1" x14ac:dyDescent="0.2">
      <c r="A6" s="5"/>
      <c r="B6" s="21" t="s">
        <v>23</v>
      </c>
      <c r="C6" s="6"/>
      <c r="D6" s="5"/>
      <c r="E6" s="5"/>
      <c r="F6" s="5"/>
      <c r="G6" s="5"/>
      <c r="H6" s="5"/>
      <c r="I6" s="5"/>
      <c r="J6" s="5"/>
      <c r="K6" s="5"/>
      <c r="L6" s="5"/>
      <c r="M6" s="5"/>
      <c r="N6" s="5"/>
      <c r="O6" s="5"/>
      <c r="P6" s="5"/>
      <c r="Q6" s="5"/>
      <c r="R6" s="5"/>
      <c r="S6" s="5"/>
      <c r="T6" s="5"/>
      <c r="U6" s="5"/>
      <c r="V6" s="5"/>
      <c r="W6" s="5"/>
    </row>
    <row r="7" spans="1:23" ht="24.75" customHeight="1" x14ac:dyDescent="0.25">
      <c r="A7" s="5"/>
      <c r="B7" s="11" t="s">
        <v>20</v>
      </c>
      <c r="C7" s="11" t="s">
        <v>41</v>
      </c>
      <c r="D7" s="11" t="s">
        <v>28</v>
      </c>
      <c r="E7" s="11" t="s">
        <v>38</v>
      </c>
      <c r="F7" s="11" t="s">
        <v>29</v>
      </c>
      <c r="G7" s="23" t="s">
        <v>28</v>
      </c>
      <c r="H7" s="11" t="s">
        <v>111</v>
      </c>
      <c r="I7" s="5"/>
      <c r="J7" s="5"/>
      <c r="K7" s="5"/>
      <c r="L7" s="5"/>
      <c r="M7" s="5"/>
      <c r="N7" s="5"/>
      <c r="O7" s="5"/>
      <c r="P7" s="5"/>
      <c r="Q7" s="5"/>
      <c r="R7" s="43"/>
      <c r="S7" s="5"/>
      <c r="T7" s="5"/>
      <c r="U7" s="5"/>
      <c r="V7" s="5"/>
      <c r="W7" s="5"/>
    </row>
    <row r="8" spans="1:23" ht="12.75" x14ac:dyDescent="0.2">
      <c r="A8" s="5"/>
      <c r="B8" s="17" t="s">
        <v>6</v>
      </c>
      <c r="C8" s="12">
        <f>(Metadata!D6)*1000</f>
        <v>38000</v>
      </c>
      <c r="D8" s="44" t="s">
        <v>25</v>
      </c>
      <c r="E8" s="42">
        <f>C8/1000</f>
        <v>38</v>
      </c>
      <c r="F8" s="42">
        <f>Emissionsfaktorer!D5</f>
        <v>78.95</v>
      </c>
      <c r="G8" s="5" t="s">
        <v>53</v>
      </c>
      <c r="H8" s="13">
        <f>E8*F8</f>
        <v>3000.1</v>
      </c>
      <c r="I8" s="5"/>
      <c r="J8" s="5"/>
      <c r="K8" s="5"/>
      <c r="L8" s="5"/>
      <c r="M8" s="5"/>
      <c r="N8" s="5"/>
      <c r="O8" s="5"/>
      <c r="P8" s="5"/>
      <c r="Q8" s="5"/>
      <c r="R8" s="5"/>
      <c r="S8" s="5"/>
      <c r="T8" s="5"/>
      <c r="U8" s="5"/>
      <c r="V8" s="5"/>
      <c r="W8" s="5"/>
    </row>
    <row r="9" spans="1:23" ht="12.75" x14ac:dyDescent="0.2">
      <c r="A9" s="5"/>
      <c r="B9" s="18" t="s">
        <v>56</v>
      </c>
      <c r="C9" s="5">
        <f>(Metadata!E6)*1000</f>
        <v>78000</v>
      </c>
      <c r="D9" s="45" t="s">
        <v>25</v>
      </c>
      <c r="E9" s="43">
        <f>C9/1000</f>
        <v>78</v>
      </c>
      <c r="F9" s="43">
        <f>Emissionsfaktorer!D6</f>
        <v>73</v>
      </c>
      <c r="G9" s="5" t="s">
        <v>53</v>
      </c>
      <c r="H9" s="14">
        <f>E9*F9</f>
        <v>5694</v>
      </c>
      <c r="I9" s="5"/>
      <c r="J9" s="5"/>
      <c r="K9" s="5"/>
      <c r="L9" s="5"/>
      <c r="M9" s="5"/>
      <c r="N9" s="5"/>
      <c r="O9" s="5"/>
      <c r="P9" s="5"/>
      <c r="Q9" s="5"/>
      <c r="R9" s="5"/>
      <c r="S9" s="5"/>
      <c r="T9" s="5"/>
      <c r="U9" s="5"/>
      <c r="V9" s="5"/>
      <c r="W9" s="5"/>
    </row>
    <row r="10" spans="1:23" ht="12.75" x14ac:dyDescent="0.2">
      <c r="A10" s="5"/>
      <c r="B10" s="18" t="s">
        <v>8</v>
      </c>
      <c r="C10" s="5">
        <f>(Metadata!F6)*1000</f>
        <v>387000</v>
      </c>
      <c r="D10" s="45" t="s">
        <v>25</v>
      </c>
      <c r="E10" s="43">
        <f>C10/1000</f>
        <v>387</v>
      </c>
      <c r="F10" s="43">
        <f>Emissionsfaktorer!D7</f>
        <v>57.1</v>
      </c>
      <c r="G10" s="5" t="s">
        <v>53</v>
      </c>
      <c r="H10" s="14">
        <f>E10*F10</f>
        <v>22097.7</v>
      </c>
      <c r="I10" s="5"/>
      <c r="J10" s="5"/>
      <c r="K10" s="5"/>
      <c r="L10" s="5"/>
      <c r="M10" s="5"/>
      <c r="N10" s="5"/>
      <c r="O10" s="5"/>
      <c r="P10" s="5"/>
      <c r="Q10" s="5"/>
      <c r="R10" s="5"/>
      <c r="S10" s="5"/>
      <c r="T10" s="5"/>
      <c r="U10" s="5"/>
      <c r="V10" s="5"/>
      <c r="W10" s="5"/>
    </row>
    <row r="11" spans="1:23" ht="12.75" x14ac:dyDescent="0.2">
      <c r="A11" s="5"/>
      <c r="B11" s="18" t="s">
        <v>9</v>
      </c>
      <c r="C11" s="5">
        <f>(Metadata!G6)*1000</f>
        <v>82000</v>
      </c>
      <c r="D11" s="45" t="s">
        <v>25</v>
      </c>
      <c r="E11" s="43">
        <f>C11/1000</f>
        <v>82</v>
      </c>
      <c r="F11" s="43">
        <f>Emissionsfaktorer!D8</f>
        <v>101.05500000000001</v>
      </c>
      <c r="G11" s="5" t="s">
        <v>53</v>
      </c>
      <c r="H11" s="14">
        <f>E11*F11</f>
        <v>8286.51</v>
      </c>
      <c r="I11" s="5"/>
      <c r="J11" s="5"/>
      <c r="K11" s="5"/>
      <c r="L11" s="5"/>
      <c r="M11" s="5"/>
      <c r="N11" s="5"/>
      <c r="O11" s="5"/>
      <c r="P11" s="5"/>
      <c r="Q11" s="5"/>
      <c r="R11" s="5"/>
      <c r="S11" s="5"/>
      <c r="T11" s="5"/>
      <c r="U11" s="5"/>
      <c r="V11" s="5"/>
      <c r="W11" s="5"/>
    </row>
    <row r="12" spans="1:23" ht="12.75" x14ac:dyDescent="0.2">
      <c r="A12" s="5"/>
      <c r="B12" s="35" t="s">
        <v>44</v>
      </c>
      <c r="C12" s="5">
        <f>(Metadata!H6)*1000</f>
        <v>99000</v>
      </c>
      <c r="D12" s="45" t="s">
        <v>25</v>
      </c>
      <c r="E12" s="43">
        <f>C12/1000</f>
        <v>99</v>
      </c>
      <c r="F12" s="43">
        <f>Emissionsfaktorer!D9</f>
        <v>101.5</v>
      </c>
      <c r="G12" s="5" t="s">
        <v>53</v>
      </c>
      <c r="H12" s="14">
        <f>E12*F12</f>
        <v>10048.5</v>
      </c>
      <c r="I12" s="5"/>
      <c r="J12" s="5"/>
      <c r="K12" s="5"/>
      <c r="L12" s="5"/>
      <c r="M12" s="5"/>
      <c r="N12" s="5"/>
      <c r="O12" s="5"/>
      <c r="P12" s="5"/>
      <c r="Q12" s="5"/>
      <c r="R12" s="5"/>
      <c r="S12" s="5"/>
      <c r="T12" s="5"/>
      <c r="U12" s="5"/>
      <c r="V12" s="5"/>
      <c r="W12" s="5"/>
    </row>
    <row r="13" spans="1:23" x14ac:dyDescent="0.2">
      <c r="A13" s="5"/>
      <c r="B13" s="15"/>
      <c r="C13" s="5"/>
      <c r="D13" s="5"/>
      <c r="E13" s="5"/>
      <c r="F13" s="5"/>
      <c r="G13" s="5"/>
      <c r="H13" s="14"/>
      <c r="I13" s="5"/>
      <c r="J13" s="5"/>
      <c r="K13" s="5"/>
      <c r="L13" s="5"/>
      <c r="M13" s="5"/>
      <c r="N13" s="5"/>
      <c r="O13" s="5"/>
      <c r="P13" s="5"/>
      <c r="Q13" s="5"/>
      <c r="R13" s="5"/>
      <c r="S13" s="5"/>
      <c r="T13" s="5"/>
      <c r="U13" s="5"/>
      <c r="V13" s="5"/>
      <c r="W13" s="5"/>
    </row>
    <row r="14" spans="1:23" ht="12.75" x14ac:dyDescent="0.2">
      <c r="A14" s="5"/>
      <c r="B14" s="19" t="s">
        <v>39</v>
      </c>
      <c r="C14" s="5"/>
      <c r="D14" s="5"/>
      <c r="E14" s="5"/>
      <c r="F14" s="5"/>
      <c r="G14" s="5"/>
      <c r="H14" s="24">
        <f>SUM(H8:H12)</f>
        <v>49126.810000000005</v>
      </c>
      <c r="I14" s="5"/>
      <c r="J14" s="5"/>
      <c r="K14" s="5"/>
      <c r="L14" s="5"/>
      <c r="M14" s="5"/>
      <c r="N14" s="5"/>
      <c r="O14" s="5"/>
      <c r="P14" s="5"/>
      <c r="Q14" s="5"/>
      <c r="R14" s="5"/>
      <c r="S14" s="5"/>
      <c r="T14" s="5"/>
      <c r="U14" s="5"/>
      <c r="V14" s="5"/>
      <c r="W14" s="5"/>
    </row>
    <row r="15" spans="1:23" ht="12.75" x14ac:dyDescent="0.2">
      <c r="A15" s="5"/>
      <c r="B15" s="20" t="s">
        <v>40</v>
      </c>
      <c r="C15" s="16"/>
      <c r="D15" s="16"/>
      <c r="E15" s="16"/>
      <c r="F15" s="16"/>
      <c r="G15" s="16"/>
      <c r="H15" s="25">
        <f>H14-H12</f>
        <v>39078.310000000005</v>
      </c>
      <c r="I15" s="5"/>
      <c r="J15" s="5"/>
      <c r="K15" s="5"/>
      <c r="L15" s="5"/>
      <c r="M15" s="5"/>
      <c r="N15" s="5"/>
      <c r="O15" s="5"/>
      <c r="P15" s="5"/>
      <c r="Q15" s="5"/>
      <c r="R15" s="5"/>
      <c r="S15" s="5"/>
      <c r="T15" s="5"/>
      <c r="U15" s="5"/>
      <c r="V15" s="5"/>
      <c r="W15" s="5"/>
    </row>
    <row r="16" spans="1:23" ht="23.25" customHeight="1" x14ac:dyDescent="0.2">
      <c r="A16" s="5"/>
      <c r="B16" s="5"/>
      <c r="C16" s="5"/>
      <c r="D16" s="5"/>
      <c r="E16" s="5"/>
      <c r="F16" s="5"/>
      <c r="G16" s="5"/>
      <c r="H16" s="5"/>
      <c r="I16" s="5"/>
      <c r="J16" s="5"/>
      <c r="K16" s="5"/>
      <c r="L16" s="5"/>
      <c r="M16" s="5"/>
      <c r="N16" s="5"/>
      <c r="O16" s="5"/>
      <c r="P16" s="5"/>
      <c r="Q16" s="5"/>
      <c r="R16" s="5"/>
      <c r="S16" s="5"/>
      <c r="T16" s="5"/>
      <c r="U16" s="5"/>
      <c r="V16" s="5"/>
      <c r="W16" s="5"/>
    </row>
    <row r="17" spans="1:23" ht="18" x14ac:dyDescent="0.25">
      <c r="A17" s="3"/>
      <c r="B17" s="4" t="s">
        <v>21</v>
      </c>
      <c r="C17" s="3"/>
      <c r="D17" s="3"/>
      <c r="E17" s="3"/>
      <c r="F17" s="3"/>
      <c r="G17" s="3"/>
      <c r="H17" s="3"/>
      <c r="I17" s="3"/>
      <c r="J17" s="3"/>
      <c r="K17" s="3"/>
      <c r="L17" s="3"/>
      <c r="M17" s="3"/>
      <c r="N17" s="5"/>
      <c r="O17" s="5"/>
      <c r="P17" s="5"/>
      <c r="Q17" s="5"/>
      <c r="R17" s="5"/>
      <c r="S17" s="5"/>
      <c r="T17" s="5"/>
      <c r="U17" s="5"/>
      <c r="V17" s="5"/>
      <c r="W17" s="5"/>
    </row>
    <row r="18" spans="1:23" ht="20.25" customHeight="1" x14ac:dyDescent="0.2">
      <c r="A18" s="5"/>
      <c r="B18" s="21" t="s">
        <v>24</v>
      </c>
      <c r="C18" s="6"/>
      <c r="D18" s="5"/>
      <c r="E18" s="5"/>
      <c r="F18" s="5"/>
      <c r="G18" s="5"/>
      <c r="H18" s="5"/>
      <c r="I18" s="5"/>
      <c r="J18" s="5"/>
      <c r="K18" s="5"/>
      <c r="L18" s="5"/>
      <c r="M18" s="5"/>
      <c r="N18" s="5"/>
      <c r="O18" s="5"/>
      <c r="P18" s="5"/>
      <c r="Q18" s="5"/>
      <c r="R18" s="5"/>
      <c r="S18" s="5"/>
      <c r="T18" s="5"/>
      <c r="U18" s="5"/>
      <c r="V18" s="5"/>
      <c r="W18" s="5"/>
    </row>
    <row r="19" spans="1:23" ht="22.5" customHeight="1" x14ac:dyDescent="0.25">
      <c r="A19" s="5"/>
      <c r="B19" s="11" t="s">
        <v>20</v>
      </c>
      <c r="C19" s="11" t="s">
        <v>41</v>
      </c>
      <c r="D19" s="11" t="s">
        <v>28</v>
      </c>
      <c r="E19" s="11" t="s">
        <v>38</v>
      </c>
      <c r="F19" s="11" t="s">
        <v>29</v>
      </c>
      <c r="G19" s="11" t="s">
        <v>28</v>
      </c>
      <c r="H19" s="11" t="s">
        <v>111</v>
      </c>
      <c r="I19" s="5"/>
      <c r="J19" s="5"/>
      <c r="K19" s="5"/>
      <c r="L19" s="5"/>
      <c r="M19" s="5"/>
      <c r="N19" s="5"/>
      <c r="O19" s="5"/>
      <c r="P19" s="5"/>
      <c r="Q19" s="5"/>
      <c r="R19" s="5"/>
      <c r="S19" s="5"/>
      <c r="T19" s="5"/>
      <c r="U19" s="5"/>
      <c r="V19" s="5"/>
      <c r="W19" s="5"/>
    </row>
    <row r="20" spans="1:23" ht="12.95" customHeight="1" x14ac:dyDescent="0.2">
      <c r="A20" s="5"/>
      <c r="B20" s="26" t="s">
        <v>13</v>
      </c>
      <c r="C20" s="12">
        <f>(Metadata!J6)*1000</f>
        <v>393000</v>
      </c>
      <c r="D20" s="12" t="s">
        <v>25</v>
      </c>
      <c r="E20" s="42">
        <f>C20/1000</f>
        <v>393</v>
      </c>
      <c r="F20" s="46">
        <f>Emissionsfaktorer!D11</f>
        <v>9.7055983820621208</v>
      </c>
      <c r="G20" s="12" t="s">
        <v>53</v>
      </c>
      <c r="H20" s="13">
        <f>E20*F20</f>
        <v>3814.3001641504134</v>
      </c>
      <c r="I20" s="5"/>
      <c r="J20" s="5"/>
      <c r="K20" s="5"/>
      <c r="L20" s="5"/>
      <c r="M20" s="5"/>
      <c r="N20" s="5"/>
      <c r="O20" s="5"/>
      <c r="P20" s="5"/>
      <c r="Q20" s="5"/>
      <c r="R20" s="5"/>
      <c r="S20" s="5"/>
      <c r="T20" s="5"/>
      <c r="U20" s="5"/>
      <c r="V20" s="5"/>
      <c r="W20" s="5"/>
    </row>
    <row r="21" spans="1:23" ht="12.95" customHeight="1" x14ac:dyDescent="0.2">
      <c r="A21" s="5"/>
      <c r="B21" s="27" t="s">
        <v>11</v>
      </c>
      <c r="C21" s="5">
        <f>(Metadata!I6)*1000</f>
        <v>1982000</v>
      </c>
      <c r="D21" s="5" t="s">
        <v>25</v>
      </c>
      <c r="E21" s="43">
        <f>C21/1000</f>
        <v>1982</v>
      </c>
      <c r="F21" s="43">
        <f>Emissionsfaktorer!D10</f>
        <v>13.2967</v>
      </c>
      <c r="G21" s="5" t="s">
        <v>53</v>
      </c>
      <c r="H21" s="14">
        <f>E21*F21</f>
        <v>26354.059399999998</v>
      </c>
      <c r="I21" s="5"/>
      <c r="J21" s="5"/>
      <c r="K21" s="5"/>
      <c r="L21" s="5"/>
      <c r="M21" s="5"/>
      <c r="N21" s="5"/>
      <c r="O21" s="5"/>
      <c r="P21" s="5"/>
      <c r="Q21" s="5"/>
      <c r="R21" s="5"/>
      <c r="S21" s="5"/>
      <c r="T21" s="5"/>
      <c r="U21" s="5"/>
      <c r="V21" s="5"/>
      <c r="W21" s="5"/>
    </row>
    <row r="22" spans="1:23" x14ac:dyDescent="0.2">
      <c r="A22" s="5"/>
      <c r="B22" s="15"/>
      <c r="C22" s="5"/>
      <c r="D22" s="5"/>
      <c r="E22" s="5"/>
      <c r="F22" s="5"/>
      <c r="G22" s="5"/>
      <c r="H22" s="14"/>
      <c r="I22" s="5"/>
      <c r="J22" s="5"/>
      <c r="K22" s="5"/>
      <c r="L22" s="5"/>
      <c r="M22" s="5"/>
      <c r="N22" s="5"/>
      <c r="O22" s="5"/>
      <c r="P22" s="5"/>
      <c r="Q22" s="5"/>
      <c r="R22" s="5"/>
      <c r="S22" s="5"/>
      <c r="T22" s="5"/>
      <c r="U22" s="5"/>
      <c r="V22" s="5"/>
      <c r="W22" s="5"/>
    </row>
    <row r="23" spans="1:23" ht="12.75" x14ac:dyDescent="0.2">
      <c r="A23" s="5"/>
      <c r="B23" s="28" t="s">
        <v>39</v>
      </c>
      <c r="C23" s="16"/>
      <c r="D23" s="16"/>
      <c r="E23" s="16"/>
      <c r="F23" s="16"/>
      <c r="G23" s="16"/>
      <c r="H23" s="29">
        <f>SUM(H20:H21)</f>
        <v>30168.359564150411</v>
      </c>
      <c r="I23" s="5"/>
      <c r="J23" s="5"/>
      <c r="K23" s="5"/>
      <c r="L23" s="5"/>
      <c r="M23" s="5"/>
      <c r="N23" s="5"/>
      <c r="O23" s="5"/>
      <c r="P23" s="5"/>
      <c r="Q23" s="5"/>
      <c r="R23" s="5"/>
      <c r="S23" s="5"/>
      <c r="T23" s="5"/>
      <c r="U23" s="5"/>
      <c r="V23" s="5"/>
      <c r="W23" s="5"/>
    </row>
    <row r="24" spans="1:23" x14ac:dyDescent="0.2">
      <c r="A24" s="5"/>
      <c r="B24" s="5"/>
      <c r="C24" s="5"/>
      <c r="D24" s="5"/>
      <c r="E24" s="5"/>
      <c r="F24" s="5"/>
      <c r="G24" s="5"/>
      <c r="H24" s="5"/>
      <c r="I24" s="5"/>
      <c r="J24" s="5"/>
      <c r="K24" s="5"/>
      <c r="L24" s="5"/>
      <c r="M24" s="5"/>
      <c r="N24" s="5"/>
      <c r="O24" s="5"/>
      <c r="P24" s="5"/>
      <c r="Q24" s="5"/>
      <c r="R24" s="5"/>
      <c r="S24" s="5"/>
      <c r="T24" s="5"/>
      <c r="U24" s="5"/>
      <c r="V24" s="5"/>
      <c r="W24" s="5"/>
    </row>
    <row r="25" spans="1:23" x14ac:dyDescent="0.2">
      <c r="A25" s="5"/>
      <c r="B25" s="5"/>
      <c r="C25" s="5"/>
      <c r="D25" s="5"/>
      <c r="E25" s="5"/>
      <c r="F25" s="5"/>
      <c r="G25" s="5"/>
      <c r="H25" s="5"/>
      <c r="I25" s="5"/>
      <c r="J25" s="5"/>
      <c r="K25" s="5"/>
      <c r="L25" s="5"/>
      <c r="M25" s="5"/>
      <c r="N25" s="5"/>
      <c r="O25" s="5"/>
      <c r="P25" s="5"/>
      <c r="Q25" s="5"/>
      <c r="R25" s="5"/>
      <c r="S25" s="5"/>
      <c r="T25" s="5"/>
      <c r="U25" s="5"/>
      <c r="V25" s="5"/>
      <c r="W25" s="5"/>
    </row>
    <row r="26" spans="1:23" ht="18.75" customHeight="1" x14ac:dyDescent="0.2">
      <c r="A26" s="34"/>
      <c r="B26" s="34"/>
      <c r="C26" s="34"/>
      <c r="D26" s="34"/>
      <c r="E26" s="34"/>
      <c r="F26" s="34"/>
      <c r="G26" s="34"/>
      <c r="H26" s="34"/>
      <c r="I26" s="34"/>
      <c r="J26" s="34"/>
      <c r="K26" s="34"/>
      <c r="L26" s="34"/>
      <c r="M26" s="34"/>
      <c r="N26" s="5"/>
      <c r="O26" s="5"/>
      <c r="P26" s="5"/>
      <c r="Q26" s="5"/>
      <c r="R26" s="5"/>
      <c r="S26" s="5"/>
      <c r="T26" s="5"/>
      <c r="U26" s="5"/>
      <c r="V26" s="5"/>
      <c r="W26" s="5"/>
    </row>
    <row r="27" spans="1:23" s="5" customFormat="1" ht="18.75" customHeight="1" x14ac:dyDescent="0.2"/>
    <row r="28" spans="1:23" ht="15.75" customHeight="1" x14ac:dyDescent="0.25">
      <c r="A28" s="5"/>
      <c r="B28" s="11" t="s">
        <v>95</v>
      </c>
      <c r="C28" s="5"/>
      <c r="D28" s="5"/>
      <c r="E28" s="5"/>
      <c r="F28" s="5"/>
      <c r="G28" s="5"/>
      <c r="H28" s="5"/>
      <c r="I28" s="5"/>
      <c r="J28" s="5"/>
      <c r="K28" s="5"/>
      <c r="L28" s="5"/>
      <c r="M28" s="5"/>
      <c r="N28" s="5"/>
      <c r="O28" s="5"/>
      <c r="P28" s="5"/>
      <c r="Q28" s="5"/>
      <c r="R28" s="5"/>
      <c r="S28" s="5"/>
      <c r="T28" s="5"/>
      <c r="U28" s="5"/>
      <c r="V28" s="5"/>
      <c r="W28" s="5"/>
    </row>
    <row r="29" spans="1:23" x14ac:dyDescent="0.2">
      <c r="A29" s="5"/>
      <c r="B29" s="36"/>
      <c r="C29" s="41" t="s">
        <v>96</v>
      </c>
      <c r="D29" s="5"/>
      <c r="E29" s="5"/>
      <c r="F29" s="5"/>
      <c r="G29" s="5"/>
      <c r="H29" s="5"/>
      <c r="I29" s="5"/>
      <c r="J29" s="5"/>
      <c r="K29" s="5"/>
      <c r="L29" s="5"/>
      <c r="M29" s="5"/>
      <c r="N29" s="5"/>
      <c r="O29" s="5"/>
      <c r="P29" s="5"/>
      <c r="Q29" s="5"/>
      <c r="R29" s="5"/>
      <c r="S29" s="5"/>
      <c r="T29" s="5"/>
      <c r="U29" s="5"/>
      <c r="V29" s="5"/>
      <c r="W29" s="5"/>
    </row>
    <row r="30" spans="1:23" x14ac:dyDescent="0.2">
      <c r="A30" s="5"/>
      <c r="B30" s="37" t="s">
        <v>19</v>
      </c>
      <c r="C30" s="38">
        <f>H15</f>
        <v>39078.310000000005</v>
      </c>
      <c r="D30" s="5"/>
      <c r="E30" s="5"/>
      <c r="F30" s="5"/>
      <c r="G30" s="5"/>
      <c r="H30" s="5"/>
      <c r="I30" s="5"/>
      <c r="J30" s="5"/>
      <c r="K30" s="5"/>
      <c r="L30" s="5"/>
      <c r="M30" s="5"/>
      <c r="N30" s="5"/>
      <c r="O30" s="5"/>
      <c r="P30" s="5"/>
      <c r="Q30" s="5"/>
      <c r="R30" s="5"/>
      <c r="S30" s="5"/>
      <c r="T30" s="5"/>
      <c r="U30" s="5"/>
      <c r="V30" s="5"/>
      <c r="W30" s="5"/>
    </row>
    <row r="31" spans="1:23" x14ac:dyDescent="0.2">
      <c r="A31" s="5"/>
      <c r="B31" s="37" t="s">
        <v>21</v>
      </c>
      <c r="C31" s="38">
        <f>H23</f>
        <v>30168.359564150411</v>
      </c>
      <c r="D31" s="5"/>
      <c r="E31" s="5"/>
      <c r="F31" s="5"/>
      <c r="G31" s="5"/>
      <c r="H31" s="5"/>
      <c r="I31" s="5"/>
      <c r="J31" s="5"/>
      <c r="K31" s="5"/>
      <c r="L31" s="5"/>
      <c r="M31" s="5"/>
      <c r="N31" s="5"/>
      <c r="O31" s="5"/>
      <c r="P31" s="5"/>
      <c r="Q31" s="5"/>
      <c r="R31" s="5"/>
      <c r="S31" s="5"/>
      <c r="T31" s="5"/>
      <c r="U31" s="5"/>
      <c r="V31" s="5"/>
      <c r="W31" s="5"/>
    </row>
    <row r="32" spans="1:23" x14ac:dyDescent="0.2">
      <c r="A32" s="5"/>
      <c r="B32" s="47" t="s">
        <v>45</v>
      </c>
      <c r="C32" s="38">
        <f>H12</f>
        <v>10048.5</v>
      </c>
      <c r="D32" s="5"/>
      <c r="E32" s="5"/>
      <c r="F32" s="5"/>
      <c r="G32" s="5"/>
      <c r="H32" s="5"/>
      <c r="I32" s="5"/>
      <c r="J32" s="5"/>
      <c r="K32" s="5"/>
      <c r="L32" s="5"/>
      <c r="M32" s="5"/>
      <c r="N32" s="5"/>
      <c r="O32" s="5"/>
      <c r="P32" s="5"/>
      <c r="Q32" s="5"/>
      <c r="R32" s="5"/>
      <c r="S32" s="5"/>
      <c r="T32" s="5"/>
      <c r="U32" s="5"/>
      <c r="V32" s="5"/>
      <c r="W32" s="5"/>
    </row>
    <row r="33" spans="1:23" x14ac:dyDescent="0.2">
      <c r="A33" s="5"/>
      <c r="B33" s="15"/>
      <c r="C33" s="14"/>
      <c r="D33" s="5"/>
      <c r="E33" s="5"/>
      <c r="F33" s="5"/>
      <c r="G33" s="5"/>
      <c r="H33" s="5"/>
      <c r="I33" s="5"/>
      <c r="J33" s="5"/>
      <c r="K33" s="5"/>
      <c r="L33" s="5"/>
      <c r="M33" s="5"/>
      <c r="N33" s="5"/>
      <c r="O33" s="5"/>
      <c r="P33" s="5"/>
      <c r="Q33" s="5"/>
      <c r="R33" s="5"/>
      <c r="S33" s="5"/>
      <c r="T33" s="5"/>
      <c r="U33" s="5"/>
      <c r="V33" s="5"/>
      <c r="W33" s="5"/>
    </row>
    <row r="34" spans="1:23" ht="12.75" x14ac:dyDescent="0.2">
      <c r="A34" s="5"/>
      <c r="B34" s="39" t="s">
        <v>39</v>
      </c>
      <c r="C34" s="40">
        <f>SUM(C30:C32)</f>
        <v>79295.169564150419</v>
      </c>
      <c r="D34" s="5"/>
      <c r="E34" s="5"/>
      <c r="F34" s="5"/>
      <c r="G34" s="5"/>
      <c r="H34" s="5"/>
      <c r="I34" s="5"/>
      <c r="J34" s="5"/>
      <c r="K34" s="5"/>
      <c r="L34" s="5"/>
      <c r="M34" s="5"/>
      <c r="N34" s="5"/>
      <c r="O34" s="5"/>
      <c r="P34" s="5"/>
      <c r="Q34" s="5"/>
      <c r="R34" s="5"/>
      <c r="S34" s="5"/>
      <c r="T34" s="5"/>
      <c r="U34" s="5"/>
      <c r="V34" s="5"/>
      <c r="W34" s="5"/>
    </row>
    <row r="35" spans="1:23" x14ac:dyDescent="0.2">
      <c r="A35" s="5"/>
      <c r="B35" s="21" t="s">
        <v>94</v>
      </c>
      <c r="C35" s="5"/>
      <c r="D35" s="5"/>
      <c r="E35" s="5"/>
      <c r="F35" s="5"/>
      <c r="G35" s="5"/>
      <c r="H35" s="5"/>
      <c r="I35" s="5"/>
      <c r="J35" s="5"/>
      <c r="K35" s="5"/>
      <c r="L35" s="5"/>
      <c r="M35" s="5"/>
      <c r="N35" s="5"/>
      <c r="O35" s="5"/>
      <c r="P35" s="5"/>
      <c r="Q35" s="5"/>
      <c r="R35" s="5"/>
      <c r="S35" s="5"/>
      <c r="T35" s="5"/>
      <c r="U35" s="5"/>
      <c r="V35" s="5"/>
      <c r="W35" s="5"/>
    </row>
    <row r="36" spans="1:23" x14ac:dyDescent="0.2">
      <c r="A36" s="5"/>
      <c r="B36" s="5"/>
      <c r="C36" s="5"/>
      <c r="D36" s="5"/>
      <c r="E36" s="5"/>
      <c r="F36" s="5"/>
      <c r="G36" s="5"/>
      <c r="H36" s="5"/>
      <c r="I36" s="5"/>
      <c r="J36" s="5"/>
      <c r="K36" s="5"/>
      <c r="L36" s="5"/>
      <c r="M36" s="5"/>
      <c r="N36" s="5"/>
      <c r="O36" s="5"/>
      <c r="P36" s="5"/>
      <c r="Q36" s="5"/>
      <c r="R36" s="5"/>
      <c r="S36" s="5"/>
      <c r="T36" s="5"/>
      <c r="U36" s="5"/>
      <c r="V36" s="5"/>
      <c r="W36" s="5"/>
    </row>
    <row r="37" spans="1:23" x14ac:dyDescent="0.2">
      <c r="A37" s="5"/>
      <c r="B37" s="5"/>
      <c r="C37" s="5"/>
      <c r="D37" s="5"/>
      <c r="E37" s="5"/>
      <c r="F37" s="5"/>
      <c r="G37" s="5"/>
      <c r="H37" s="5"/>
      <c r="I37" s="5"/>
      <c r="J37" s="5"/>
      <c r="K37" s="5"/>
      <c r="L37" s="5"/>
      <c r="M37" s="5"/>
      <c r="N37" s="5"/>
      <c r="O37" s="5"/>
      <c r="P37" s="5"/>
      <c r="Q37" s="5"/>
      <c r="R37" s="5"/>
      <c r="S37" s="5"/>
      <c r="T37" s="5"/>
      <c r="U37" s="5"/>
      <c r="V37" s="5"/>
      <c r="W37" s="5"/>
    </row>
    <row r="38" spans="1:23" x14ac:dyDescent="0.2">
      <c r="A38" s="5"/>
      <c r="B38" s="5"/>
      <c r="C38" s="5"/>
      <c r="D38" s="5"/>
      <c r="E38" s="5"/>
      <c r="F38" s="5"/>
      <c r="G38" s="5"/>
      <c r="H38" s="5"/>
      <c r="I38" s="5"/>
      <c r="J38" s="5"/>
      <c r="K38" s="5"/>
      <c r="L38" s="5"/>
      <c r="M38" s="5"/>
      <c r="N38" s="5"/>
      <c r="O38" s="5"/>
      <c r="P38" s="5"/>
      <c r="Q38" s="5"/>
      <c r="R38" s="5"/>
      <c r="S38" s="5"/>
      <c r="T38" s="5"/>
      <c r="U38" s="5"/>
      <c r="V38" s="5"/>
      <c r="W38" s="5"/>
    </row>
    <row r="39" spans="1:23" x14ac:dyDescent="0.2">
      <c r="A39" s="5"/>
      <c r="B39" s="5"/>
      <c r="C39" s="5"/>
      <c r="D39" s="5"/>
      <c r="E39" s="5"/>
      <c r="F39" s="5"/>
      <c r="G39" s="5"/>
      <c r="H39" s="5"/>
      <c r="I39" s="5"/>
      <c r="J39" s="5"/>
      <c r="K39" s="5"/>
      <c r="L39" s="5"/>
      <c r="M39" s="5"/>
      <c r="N39" s="5"/>
      <c r="O39" s="5"/>
      <c r="P39" s="5"/>
      <c r="Q39" s="5"/>
      <c r="R39" s="5"/>
      <c r="S39" s="5"/>
      <c r="T39" s="5"/>
      <c r="U39" s="5"/>
      <c r="V39" s="5"/>
      <c r="W39" s="5"/>
    </row>
    <row r="40" spans="1:23" x14ac:dyDescent="0.2">
      <c r="A40" s="5"/>
      <c r="B40" s="5"/>
      <c r="C40" s="5"/>
      <c r="D40" s="5"/>
      <c r="E40" s="5"/>
      <c r="F40" s="5"/>
      <c r="G40" s="5"/>
      <c r="H40" s="5"/>
      <c r="I40" s="5"/>
      <c r="J40" s="5"/>
      <c r="K40" s="5"/>
      <c r="L40" s="5"/>
      <c r="M40" s="5"/>
      <c r="N40" s="5"/>
      <c r="O40" s="5"/>
      <c r="P40" s="5"/>
      <c r="Q40" s="5"/>
      <c r="R40" s="5"/>
      <c r="S40" s="5"/>
      <c r="T40" s="5"/>
      <c r="U40" s="5"/>
      <c r="V40" s="5"/>
      <c r="W40" s="5"/>
    </row>
    <row r="41" spans="1:23" x14ac:dyDescent="0.2">
      <c r="A41" s="5"/>
      <c r="B41" s="5"/>
      <c r="C41" s="5"/>
      <c r="D41" s="5"/>
      <c r="E41" s="5"/>
      <c r="F41" s="5"/>
      <c r="G41" s="5"/>
      <c r="H41" s="5"/>
      <c r="I41" s="5"/>
      <c r="J41" s="5"/>
      <c r="K41" s="5"/>
      <c r="L41" s="5"/>
      <c r="M41" s="5"/>
      <c r="N41" s="5"/>
      <c r="O41" s="5"/>
      <c r="P41" s="5"/>
      <c r="Q41" s="5"/>
      <c r="R41" s="5"/>
      <c r="S41" s="5"/>
      <c r="T41" s="5"/>
      <c r="U41" s="5"/>
      <c r="V41" s="5"/>
      <c r="W41" s="5"/>
    </row>
    <row r="42" spans="1:23" x14ac:dyDescent="0.2">
      <c r="A42" s="5"/>
      <c r="B42" s="5"/>
      <c r="C42" s="5"/>
      <c r="D42" s="5"/>
      <c r="E42" s="5"/>
      <c r="F42" s="5"/>
      <c r="G42" s="5"/>
      <c r="H42" s="5"/>
      <c r="I42" s="5"/>
      <c r="J42" s="5"/>
      <c r="K42" s="5"/>
      <c r="L42" s="5"/>
      <c r="M42" s="5"/>
      <c r="N42" s="5"/>
      <c r="O42" s="5"/>
      <c r="P42" s="5"/>
      <c r="Q42" s="5"/>
      <c r="R42" s="5"/>
      <c r="S42" s="5"/>
      <c r="T42" s="5"/>
      <c r="U42" s="5"/>
      <c r="V42" s="5"/>
      <c r="W42" s="5"/>
    </row>
    <row r="43" spans="1:23" x14ac:dyDescent="0.2">
      <c r="A43" s="5"/>
      <c r="B43" s="5"/>
      <c r="C43" s="5"/>
      <c r="D43" s="5"/>
      <c r="E43" s="5"/>
      <c r="F43" s="5"/>
      <c r="G43" s="5"/>
      <c r="H43" s="5"/>
      <c r="I43" s="5"/>
      <c r="J43" s="5"/>
      <c r="K43" s="5"/>
      <c r="L43" s="5"/>
      <c r="M43" s="5"/>
      <c r="N43" s="5"/>
      <c r="O43" s="5"/>
      <c r="P43" s="5"/>
      <c r="Q43" s="5"/>
      <c r="R43" s="5"/>
      <c r="S43" s="5"/>
      <c r="T43" s="5"/>
      <c r="U43" s="5"/>
      <c r="V43" s="5"/>
      <c r="W43" s="5"/>
    </row>
    <row r="44" spans="1:23" x14ac:dyDescent="0.2">
      <c r="A44" s="5"/>
      <c r="B44" s="5"/>
      <c r="C44" s="5"/>
      <c r="D44" s="5"/>
      <c r="E44" s="5"/>
      <c r="F44" s="5"/>
      <c r="G44" s="5"/>
      <c r="H44" s="5"/>
      <c r="I44" s="5"/>
      <c r="J44" s="5"/>
      <c r="K44" s="5"/>
      <c r="L44" s="5"/>
      <c r="M44" s="5"/>
      <c r="N44" s="5"/>
      <c r="O44" s="5"/>
      <c r="P44" s="5"/>
      <c r="Q44" s="5"/>
      <c r="R44" s="5"/>
      <c r="S44" s="5"/>
      <c r="T44" s="5"/>
      <c r="U44" s="5"/>
      <c r="V44" s="5"/>
      <c r="W44" s="5"/>
    </row>
    <row r="45" spans="1:23" x14ac:dyDescent="0.2">
      <c r="A45" s="5"/>
      <c r="B45" s="5"/>
      <c r="C45" s="5"/>
      <c r="D45" s="5"/>
      <c r="E45" s="5"/>
      <c r="F45" s="5"/>
      <c r="G45" s="5"/>
      <c r="H45" s="5"/>
      <c r="I45" s="5"/>
      <c r="J45" s="5"/>
      <c r="K45" s="5"/>
      <c r="L45" s="5"/>
      <c r="M45" s="5"/>
      <c r="N45" s="5"/>
      <c r="O45" s="5"/>
      <c r="P45" s="5"/>
      <c r="Q45" s="5"/>
      <c r="R45" s="5"/>
      <c r="S45" s="5"/>
      <c r="T45" s="5"/>
      <c r="U45" s="5"/>
      <c r="V45" s="5"/>
      <c r="W45" s="5"/>
    </row>
    <row r="46" spans="1:23" x14ac:dyDescent="0.2">
      <c r="A46" s="5"/>
      <c r="B46" s="5"/>
      <c r="C46" s="5"/>
      <c r="D46" s="5"/>
      <c r="E46" s="5"/>
      <c r="F46" s="5"/>
      <c r="G46" s="5"/>
      <c r="H46" s="5"/>
      <c r="I46" s="5"/>
      <c r="J46" s="5"/>
      <c r="K46" s="5"/>
      <c r="L46" s="5"/>
      <c r="M46" s="5"/>
      <c r="N46" s="5"/>
      <c r="O46" s="5"/>
      <c r="P46" s="5"/>
      <c r="Q46" s="5"/>
      <c r="R46" s="5"/>
      <c r="S46" s="5"/>
      <c r="T46" s="5"/>
      <c r="U46" s="5"/>
      <c r="V46" s="5"/>
      <c r="W46"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D1D1-8C35-4227-9A8F-16AC2E9414A5}">
  <sheetPr codeName="Ark2"/>
  <dimension ref="A1:R68"/>
  <sheetViews>
    <sheetView workbookViewId="0">
      <selection activeCell="H33" sqref="H33"/>
    </sheetView>
  </sheetViews>
  <sheetFormatPr defaultRowHeight="12" x14ac:dyDescent="0.2"/>
  <cols>
    <col min="1" max="1" width="4.7109375" customWidth="1"/>
    <col min="2" max="2" width="27.42578125" customWidth="1"/>
    <col min="3" max="3" width="12.140625" customWidth="1"/>
    <col min="4" max="4" width="22" customWidth="1"/>
    <col min="5" max="5" width="28.42578125" customWidth="1"/>
    <col min="6" max="6" width="17.42578125" customWidth="1"/>
    <col min="7" max="7" width="17.85546875" customWidth="1"/>
    <col min="8" max="8" width="33.5703125" customWidth="1"/>
  </cols>
  <sheetData>
    <row r="1" spans="1:18" x14ac:dyDescent="0.2">
      <c r="A1" s="5"/>
      <c r="B1" s="5"/>
      <c r="C1" s="5"/>
      <c r="D1" s="5"/>
      <c r="E1" s="5"/>
      <c r="F1" s="5"/>
      <c r="G1" s="5"/>
      <c r="H1" s="5"/>
      <c r="I1" s="5"/>
      <c r="J1" s="5"/>
      <c r="K1" s="5"/>
      <c r="L1" s="5"/>
      <c r="M1" s="5"/>
      <c r="N1" s="5"/>
      <c r="O1" s="5"/>
      <c r="P1" s="5"/>
      <c r="Q1" s="5"/>
      <c r="R1" s="5"/>
    </row>
    <row r="2" spans="1:18" x14ac:dyDescent="0.2">
      <c r="A2" s="5"/>
      <c r="B2" s="5"/>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ht="29.25" customHeight="1" x14ac:dyDescent="0.2">
      <c r="A4" s="5"/>
      <c r="B4" s="5"/>
      <c r="C4" s="5"/>
      <c r="D4" s="5"/>
      <c r="E4" s="5"/>
      <c r="F4" s="5"/>
      <c r="G4" s="5"/>
      <c r="H4" s="5"/>
      <c r="I4" s="5"/>
      <c r="J4" s="5"/>
      <c r="K4" s="5"/>
      <c r="L4" s="5"/>
      <c r="M4" s="5"/>
      <c r="N4" s="5"/>
      <c r="O4" s="5"/>
      <c r="P4" s="5"/>
      <c r="Q4" s="5"/>
      <c r="R4" s="5"/>
    </row>
    <row r="5" spans="1:18" ht="9" customHeight="1" x14ac:dyDescent="0.2">
      <c r="A5" s="5"/>
      <c r="B5" s="5"/>
      <c r="C5" s="5"/>
      <c r="D5" s="5"/>
      <c r="E5" s="5"/>
      <c r="F5" s="5"/>
      <c r="G5" s="5"/>
      <c r="H5" s="5"/>
      <c r="I5" s="5"/>
      <c r="J5" s="5"/>
      <c r="K5" s="5"/>
      <c r="L5" s="5"/>
      <c r="M5" s="5"/>
      <c r="N5" s="5"/>
      <c r="O5" s="5"/>
      <c r="P5" s="5"/>
      <c r="Q5" s="5"/>
      <c r="R5" s="5"/>
    </row>
    <row r="6" spans="1:18" ht="14.25" customHeight="1" x14ac:dyDescent="0.2">
      <c r="A6" s="5"/>
      <c r="B6" s="5"/>
      <c r="C6" s="5"/>
      <c r="D6" s="5"/>
      <c r="E6" s="5"/>
      <c r="F6" s="5"/>
      <c r="G6" s="5"/>
      <c r="H6" s="5"/>
      <c r="I6" s="5"/>
      <c r="J6" s="5"/>
      <c r="K6" s="5"/>
      <c r="L6" s="5"/>
      <c r="M6" s="5"/>
      <c r="N6" s="5"/>
      <c r="O6" s="5"/>
      <c r="P6" s="5"/>
      <c r="Q6" s="5"/>
      <c r="R6" s="5"/>
    </row>
    <row r="7" spans="1:18" ht="6" customHeight="1" x14ac:dyDescent="0.2">
      <c r="A7" s="5"/>
      <c r="B7" s="5"/>
      <c r="C7" s="5"/>
      <c r="D7" s="5"/>
      <c r="E7" s="5"/>
      <c r="F7" s="5"/>
      <c r="G7" s="5"/>
      <c r="H7" s="5"/>
      <c r="I7" s="5"/>
      <c r="J7" s="5"/>
      <c r="K7" s="5"/>
      <c r="L7" s="5"/>
      <c r="M7" s="5"/>
      <c r="N7" s="5"/>
      <c r="O7" s="5"/>
      <c r="P7" s="5"/>
      <c r="Q7" s="5"/>
      <c r="R7" s="5"/>
    </row>
    <row r="8" spans="1:18" ht="24" customHeight="1" x14ac:dyDescent="0.35">
      <c r="A8" s="5"/>
      <c r="B8" s="82" t="s">
        <v>112</v>
      </c>
      <c r="C8" s="5"/>
      <c r="D8" s="99" t="s">
        <v>86</v>
      </c>
      <c r="F8" s="5"/>
      <c r="G8" s="5"/>
      <c r="H8" s="5"/>
      <c r="I8" s="5"/>
      <c r="J8" s="5"/>
      <c r="K8" s="5"/>
      <c r="L8" s="5"/>
      <c r="M8" s="5"/>
      <c r="N8" s="5"/>
      <c r="O8" s="5"/>
      <c r="P8" s="5"/>
      <c r="Q8" s="5"/>
      <c r="R8" s="5"/>
    </row>
    <row r="9" spans="1:18" ht="19.5" customHeight="1" x14ac:dyDescent="0.2">
      <c r="A9" s="5"/>
      <c r="B9" s="83" t="s">
        <v>79</v>
      </c>
      <c r="C9" s="77" t="s">
        <v>81</v>
      </c>
      <c r="D9" s="77" t="s">
        <v>82</v>
      </c>
      <c r="E9" s="77" t="s">
        <v>83</v>
      </c>
      <c r="F9" s="77" t="s">
        <v>84</v>
      </c>
      <c r="G9" s="103" t="s">
        <v>85</v>
      </c>
      <c r="H9" s="5"/>
      <c r="I9" s="5"/>
      <c r="J9" s="5"/>
      <c r="K9" s="5"/>
      <c r="L9" s="5"/>
      <c r="M9" s="5"/>
      <c r="N9" s="5"/>
      <c r="O9" s="5"/>
      <c r="P9" s="5"/>
      <c r="Q9" s="5"/>
      <c r="R9" s="5"/>
    </row>
    <row r="10" spans="1:18" ht="24.75" customHeight="1" x14ac:dyDescent="0.2">
      <c r="A10" s="5"/>
      <c r="B10" s="15" t="s">
        <v>80</v>
      </c>
      <c r="C10" s="5">
        <v>2023</v>
      </c>
      <c r="D10" s="5">
        <v>2040</v>
      </c>
      <c r="E10" s="5">
        <f>Metadata!D6+Metadata!E6+Metadata!F6+Metadata!G6</f>
        <v>585</v>
      </c>
      <c r="F10" s="61">
        <f>E10/17</f>
        <v>34.411764705882355</v>
      </c>
      <c r="G10" s="14">
        <v>0</v>
      </c>
      <c r="H10" s="5"/>
      <c r="I10" s="5"/>
      <c r="J10" s="5"/>
      <c r="K10" s="5"/>
      <c r="L10" s="5"/>
      <c r="M10" s="5"/>
      <c r="N10" s="5"/>
      <c r="O10" s="5"/>
      <c r="P10" s="5"/>
      <c r="Q10" s="5"/>
      <c r="R10" s="5"/>
    </row>
    <row r="11" spans="1:18" x14ac:dyDescent="0.2">
      <c r="A11" s="5"/>
      <c r="B11" s="75"/>
      <c r="C11" s="16"/>
      <c r="D11" s="16"/>
      <c r="E11" s="16"/>
      <c r="F11" s="16"/>
      <c r="G11" s="76"/>
      <c r="H11" s="5"/>
      <c r="I11" s="5"/>
      <c r="J11" s="5"/>
      <c r="K11" s="5"/>
      <c r="L11" s="5"/>
      <c r="M11" s="5"/>
      <c r="N11" s="5"/>
      <c r="O11" s="5"/>
      <c r="P11" s="5"/>
      <c r="Q11" s="5"/>
      <c r="R11" s="5"/>
    </row>
    <row r="12" spans="1:18" x14ac:dyDescent="0.2">
      <c r="A12" s="5"/>
      <c r="B12" s="5"/>
      <c r="C12" s="5"/>
      <c r="D12" s="5"/>
      <c r="E12" s="5"/>
      <c r="F12" s="5"/>
      <c r="G12" s="5"/>
      <c r="H12" s="5"/>
      <c r="I12" s="5"/>
      <c r="J12" s="5"/>
      <c r="K12" s="5"/>
      <c r="L12" s="5"/>
      <c r="M12" s="5"/>
      <c r="N12" s="5"/>
      <c r="O12" s="5"/>
      <c r="P12" s="5"/>
      <c r="Q12" s="5"/>
      <c r="R12" s="5"/>
    </row>
    <row r="13" spans="1:18" ht="14.25" x14ac:dyDescent="0.2">
      <c r="A13" s="5"/>
      <c r="B13" s="82" t="s">
        <v>91</v>
      </c>
      <c r="C13" s="5"/>
      <c r="D13" s="5"/>
      <c r="E13" s="5"/>
      <c r="F13" s="5"/>
      <c r="G13" s="5"/>
      <c r="H13" s="5"/>
      <c r="I13" s="5"/>
      <c r="J13" s="5"/>
      <c r="K13" s="5"/>
      <c r="L13" s="5"/>
      <c r="M13" s="5"/>
      <c r="N13" s="5"/>
      <c r="O13" s="5"/>
      <c r="P13" s="5"/>
      <c r="Q13" s="5"/>
      <c r="R13" s="5"/>
    </row>
    <row r="14" spans="1:18" ht="12.75" x14ac:dyDescent="0.2">
      <c r="A14" s="5"/>
      <c r="B14" s="67" t="s">
        <v>26</v>
      </c>
      <c r="C14" s="78" t="s">
        <v>6</v>
      </c>
      <c r="D14" s="78" t="s">
        <v>56</v>
      </c>
      <c r="E14" s="78" t="s">
        <v>8</v>
      </c>
      <c r="F14" s="78" t="s">
        <v>9</v>
      </c>
      <c r="G14" s="79" t="s">
        <v>39</v>
      </c>
      <c r="H14" s="74"/>
      <c r="I14" s="5"/>
      <c r="J14" s="5"/>
      <c r="K14" s="5"/>
      <c r="L14" s="5"/>
      <c r="M14" s="5"/>
      <c r="N14" s="5"/>
      <c r="O14" s="5"/>
      <c r="P14" s="5"/>
      <c r="Q14" s="5"/>
      <c r="R14" s="5"/>
    </row>
    <row r="15" spans="1:18" x14ac:dyDescent="0.2">
      <c r="A15" s="5"/>
      <c r="B15" s="15">
        <v>2023</v>
      </c>
      <c r="C15" s="5">
        <f>Metadata!D6</f>
        <v>38</v>
      </c>
      <c r="D15" s="5">
        <f>Metadata!E6</f>
        <v>78</v>
      </c>
      <c r="E15" s="5">
        <f>Metadata!F6</f>
        <v>387</v>
      </c>
      <c r="F15" s="5">
        <f>Metadata!G6</f>
        <v>82</v>
      </c>
      <c r="G15" s="14">
        <f>SUM(C15:F15)</f>
        <v>585</v>
      </c>
      <c r="H15" s="5"/>
      <c r="I15" s="5"/>
      <c r="J15" s="5"/>
      <c r="K15" s="5"/>
      <c r="L15" s="5"/>
      <c r="M15" s="5"/>
      <c r="N15" s="5"/>
      <c r="O15" s="5"/>
      <c r="P15" s="5"/>
      <c r="Q15" s="5"/>
      <c r="R15" s="5"/>
    </row>
    <row r="16" spans="1:18" x14ac:dyDescent="0.2">
      <c r="A16" s="5"/>
      <c r="B16" s="15">
        <v>2020</v>
      </c>
      <c r="C16" s="5">
        <f>Metadata!D7</f>
        <v>68</v>
      </c>
      <c r="D16" s="5">
        <f>Metadata!E7</f>
        <v>164</v>
      </c>
      <c r="E16" s="5">
        <f>Metadata!F7</f>
        <v>1084</v>
      </c>
      <c r="F16" s="5">
        <f>Metadata!G7</f>
        <v>180</v>
      </c>
      <c r="G16" s="14">
        <f t="shared" ref="G16:G21" si="0">SUM(C16:F16)</f>
        <v>1496</v>
      </c>
      <c r="H16" s="5"/>
      <c r="I16" s="5"/>
      <c r="J16" s="5"/>
      <c r="K16" s="5"/>
      <c r="L16" s="5"/>
      <c r="M16" s="5"/>
      <c r="N16" s="5"/>
      <c r="O16" s="5"/>
      <c r="P16" s="5"/>
      <c r="Q16" s="5"/>
      <c r="R16" s="5"/>
    </row>
    <row r="17" spans="1:18" x14ac:dyDescent="0.2">
      <c r="A17" s="5"/>
      <c r="B17" s="15">
        <v>2017</v>
      </c>
      <c r="C17" s="5">
        <f>Metadata!D8</f>
        <v>43</v>
      </c>
      <c r="D17" s="5">
        <f>Metadata!E8</f>
        <v>127</v>
      </c>
      <c r="E17" s="5">
        <f>Metadata!F8</f>
        <v>1234</v>
      </c>
      <c r="F17" s="5">
        <f>Metadata!G8</f>
        <v>273</v>
      </c>
      <c r="G17" s="14">
        <f t="shared" si="0"/>
        <v>1677</v>
      </c>
      <c r="H17" s="5"/>
      <c r="I17" s="5"/>
      <c r="J17" s="5"/>
      <c r="K17" s="5"/>
      <c r="L17" s="5"/>
      <c r="M17" s="5"/>
      <c r="N17" s="5"/>
      <c r="O17" s="5"/>
      <c r="P17" s="5"/>
      <c r="Q17" s="5"/>
      <c r="R17" s="5"/>
    </row>
    <row r="18" spans="1:18" x14ac:dyDescent="0.2">
      <c r="A18" s="5"/>
      <c r="B18" s="15">
        <v>2014</v>
      </c>
      <c r="C18" s="5">
        <f>Metadata!D9</f>
        <v>123</v>
      </c>
      <c r="D18" s="5">
        <f>Metadata!E9</f>
        <v>114</v>
      </c>
      <c r="E18" s="5">
        <f>Metadata!F9</f>
        <v>1173</v>
      </c>
      <c r="F18" s="5">
        <f>Metadata!G9</f>
        <v>354</v>
      </c>
      <c r="G18" s="14">
        <f t="shared" si="0"/>
        <v>1764</v>
      </c>
      <c r="H18" s="5"/>
      <c r="I18" s="5"/>
      <c r="J18" s="5"/>
      <c r="K18" s="5"/>
      <c r="L18" s="5"/>
      <c r="M18" s="5"/>
      <c r="N18" s="5"/>
      <c r="O18" s="5"/>
      <c r="P18" s="5"/>
      <c r="Q18" s="5"/>
      <c r="R18" s="5"/>
    </row>
    <row r="19" spans="1:18" x14ac:dyDescent="0.2">
      <c r="A19" s="5"/>
      <c r="B19" s="15">
        <v>2011</v>
      </c>
      <c r="C19" s="5">
        <f>Metadata!D10</f>
        <v>325</v>
      </c>
      <c r="D19" s="5">
        <f>Metadata!E10</f>
        <v>95</v>
      </c>
      <c r="E19" s="5">
        <f>Metadata!F10</f>
        <v>1539</v>
      </c>
      <c r="F19" s="5">
        <f>Metadata!G10</f>
        <v>644</v>
      </c>
      <c r="G19" s="14">
        <f t="shared" si="0"/>
        <v>2603</v>
      </c>
      <c r="H19" s="5"/>
      <c r="I19" s="5"/>
      <c r="J19" s="5"/>
      <c r="K19" s="5"/>
      <c r="L19" s="5"/>
      <c r="M19" s="5"/>
      <c r="N19" s="5"/>
      <c r="O19" s="5"/>
      <c r="P19" s="5"/>
      <c r="Q19" s="5"/>
      <c r="R19" s="5"/>
    </row>
    <row r="20" spans="1:18" x14ac:dyDescent="0.2">
      <c r="A20" s="5"/>
      <c r="B20" s="15">
        <v>2008</v>
      </c>
      <c r="C20" s="5">
        <f>Metadata!D11</f>
        <v>619</v>
      </c>
      <c r="D20" s="5">
        <f>Metadata!E11</f>
        <v>553</v>
      </c>
      <c r="E20" s="5">
        <f>Metadata!F11</f>
        <v>1468</v>
      </c>
      <c r="F20" s="5">
        <f>Metadata!G11</f>
        <v>815</v>
      </c>
      <c r="G20" s="14">
        <f t="shared" si="0"/>
        <v>3455</v>
      </c>
      <c r="H20" s="5"/>
      <c r="I20" s="5"/>
      <c r="J20" s="5"/>
      <c r="K20" s="5"/>
      <c r="L20" s="5"/>
      <c r="M20" s="5"/>
      <c r="N20" s="5"/>
      <c r="O20" s="5"/>
      <c r="P20" s="5"/>
      <c r="Q20" s="5"/>
      <c r="R20" s="5"/>
    </row>
    <row r="21" spans="1:18" x14ac:dyDescent="0.2">
      <c r="A21" s="5"/>
      <c r="B21" s="15">
        <v>2005</v>
      </c>
      <c r="C21" s="5">
        <f>Metadata!D12</f>
        <v>915</v>
      </c>
      <c r="D21" s="5">
        <f>Metadata!E12</f>
        <v>231</v>
      </c>
      <c r="E21" s="5">
        <f>Metadata!F12</f>
        <v>2359</v>
      </c>
      <c r="F21" s="5">
        <f>Metadata!G12</f>
        <v>758</v>
      </c>
      <c r="G21" s="14">
        <f t="shared" si="0"/>
        <v>4263</v>
      </c>
      <c r="H21" s="5"/>
      <c r="I21" s="5"/>
      <c r="J21" s="5"/>
      <c r="K21" s="5"/>
      <c r="L21" s="5"/>
      <c r="M21" s="5"/>
      <c r="N21" s="5"/>
      <c r="O21" s="5"/>
      <c r="P21" s="5"/>
      <c r="Q21" s="5"/>
      <c r="R21" s="5"/>
    </row>
    <row r="22" spans="1:18" ht="16.5" customHeight="1" x14ac:dyDescent="0.2">
      <c r="A22" s="5"/>
      <c r="B22" s="15" t="s">
        <v>87</v>
      </c>
      <c r="C22" s="61">
        <f xml:space="preserve"> (C15 - C21) / (B15 - B21)</f>
        <v>-48.722222222222221</v>
      </c>
      <c r="D22" s="61">
        <f xml:space="preserve"> (D15 - D21) / (B15 - B21)</f>
        <v>-8.5</v>
      </c>
      <c r="E22" s="61">
        <f xml:space="preserve"> (E15 - E21) / (B15 - B21)</f>
        <v>-109.55555555555556</v>
      </c>
      <c r="F22" s="61">
        <f xml:space="preserve"> (F15 - F21) / (B15 - B21)</f>
        <v>-37.555555555555557</v>
      </c>
      <c r="G22" s="38">
        <f xml:space="preserve"> (G15 - G21) / (B15 - B21)</f>
        <v>-204.33333333333334</v>
      </c>
      <c r="H22" s="5"/>
      <c r="I22" s="5"/>
      <c r="J22" s="5"/>
      <c r="K22" s="5"/>
      <c r="L22" s="5"/>
      <c r="M22" s="5"/>
      <c r="N22" s="5"/>
      <c r="O22" s="5"/>
      <c r="P22" s="5"/>
      <c r="Q22" s="5"/>
      <c r="R22" s="5"/>
    </row>
    <row r="23" spans="1:18" ht="15.75" customHeight="1" x14ac:dyDescent="0.2">
      <c r="A23" s="5"/>
      <c r="B23" s="75" t="s">
        <v>93</v>
      </c>
      <c r="C23" s="66">
        <f xml:space="preserve"> (C15 - C18) / ($B$15 - $B$18)</f>
        <v>-9.4444444444444446</v>
      </c>
      <c r="D23" s="66">
        <f xml:space="preserve"> (D15 - D18) / ($B$15 - $B$18)</f>
        <v>-4</v>
      </c>
      <c r="E23" s="66">
        <f xml:space="preserve"> (E15 - E18) / ($B$15 - $B$18)</f>
        <v>-87.333333333333329</v>
      </c>
      <c r="F23" s="66">
        <f xml:space="preserve"> (F15 - F18) / ($B$15 - $B$18)</f>
        <v>-30.222222222222221</v>
      </c>
      <c r="G23" s="76">
        <f xml:space="preserve"> (G15 - G18) / ($B$15 - $B$18)</f>
        <v>-131</v>
      </c>
      <c r="H23" s="5"/>
      <c r="I23" s="5"/>
      <c r="J23" s="5"/>
      <c r="K23" s="5"/>
      <c r="L23" s="5"/>
      <c r="M23" s="5"/>
      <c r="N23" s="5"/>
      <c r="O23" s="5"/>
      <c r="P23" s="5"/>
      <c r="Q23" s="5"/>
      <c r="R23" s="5"/>
    </row>
    <row r="24" spans="1:18" x14ac:dyDescent="0.2">
      <c r="A24" s="5"/>
      <c r="B24" s="5"/>
      <c r="C24" s="5"/>
      <c r="D24" s="5"/>
      <c r="E24" s="5"/>
      <c r="F24" s="5"/>
      <c r="G24" s="5"/>
      <c r="H24" s="5"/>
      <c r="I24" s="5"/>
      <c r="J24" s="5"/>
      <c r="K24" s="5"/>
      <c r="L24" s="5"/>
      <c r="M24" s="5"/>
      <c r="N24" s="5"/>
      <c r="O24" s="5"/>
      <c r="P24" s="5"/>
      <c r="Q24" s="5"/>
      <c r="R24" s="5"/>
    </row>
    <row r="25" spans="1:18" ht="17.25" customHeight="1" x14ac:dyDescent="0.2">
      <c r="A25" s="5"/>
      <c r="B25" s="82" t="s">
        <v>92</v>
      </c>
      <c r="C25" s="5"/>
      <c r="D25" s="5"/>
      <c r="E25" s="5"/>
      <c r="F25" s="5"/>
      <c r="G25" s="5"/>
      <c r="H25" s="5"/>
      <c r="I25" s="5"/>
      <c r="J25" s="5"/>
      <c r="K25" s="5"/>
      <c r="L25" s="5"/>
      <c r="M25" s="5"/>
      <c r="N25" s="5"/>
      <c r="O25" s="5"/>
      <c r="P25" s="5"/>
      <c r="Q25" s="5"/>
      <c r="R25" s="5"/>
    </row>
    <row r="26" spans="1:18" ht="12.75" x14ac:dyDescent="0.2">
      <c r="A26" s="5"/>
      <c r="B26" s="67" t="s">
        <v>26</v>
      </c>
      <c r="C26" s="78" t="s">
        <v>6</v>
      </c>
      <c r="D26" s="78" t="s">
        <v>56</v>
      </c>
      <c r="E26" s="78" t="s">
        <v>8</v>
      </c>
      <c r="F26" s="80" t="s">
        <v>9</v>
      </c>
      <c r="G26" s="74"/>
      <c r="H26" s="5"/>
      <c r="I26" s="5"/>
      <c r="J26" s="5"/>
      <c r="K26" s="5"/>
      <c r="L26" s="5"/>
      <c r="M26" s="5"/>
      <c r="N26" s="5"/>
      <c r="O26" s="5"/>
      <c r="P26" s="5"/>
      <c r="Q26" s="5"/>
      <c r="R26" s="5"/>
    </row>
    <row r="27" spans="1:18" x14ac:dyDescent="0.2">
      <c r="A27" s="5"/>
      <c r="B27" s="15">
        <v>2005</v>
      </c>
      <c r="C27" s="5">
        <f>C21</f>
        <v>915</v>
      </c>
      <c r="D27" s="5">
        <f>D21</f>
        <v>231</v>
      </c>
      <c r="E27" s="5">
        <f>E21</f>
        <v>2359</v>
      </c>
      <c r="F27" s="14">
        <f>F21</f>
        <v>758</v>
      </c>
      <c r="G27" s="5"/>
      <c r="H27" s="5"/>
      <c r="I27" s="5"/>
      <c r="J27" s="5"/>
      <c r="K27" s="5"/>
      <c r="L27" s="5"/>
      <c r="M27" s="5"/>
      <c r="N27" s="5"/>
      <c r="O27" s="5"/>
      <c r="P27" s="5"/>
      <c r="Q27" s="5"/>
      <c r="R27" s="5"/>
    </row>
    <row r="28" spans="1:18" x14ac:dyDescent="0.2">
      <c r="A28" s="5"/>
      <c r="B28" s="15">
        <v>2008</v>
      </c>
      <c r="C28" s="5">
        <f>C20</f>
        <v>619</v>
      </c>
      <c r="D28" s="5">
        <f>D20</f>
        <v>553</v>
      </c>
      <c r="E28" s="5">
        <f>E20</f>
        <v>1468</v>
      </c>
      <c r="F28" s="14">
        <f>F20</f>
        <v>815</v>
      </c>
      <c r="G28" s="5"/>
      <c r="H28" s="5"/>
      <c r="I28" s="5"/>
      <c r="J28" s="5"/>
      <c r="K28" s="5"/>
      <c r="L28" s="5"/>
      <c r="M28" s="5"/>
      <c r="N28" s="5"/>
      <c r="O28" s="5"/>
      <c r="P28" s="5"/>
      <c r="Q28" s="5"/>
      <c r="R28" s="5"/>
    </row>
    <row r="29" spans="1:18" x14ac:dyDescent="0.2">
      <c r="A29" s="5"/>
      <c r="B29" s="15">
        <v>2011</v>
      </c>
      <c r="C29" s="5">
        <f>C19</f>
        <v>325</v>
      </c>
      <c r="D29" s="5">
        <f>D19</f>
        <v>95</v>
      </c>
      <c r="E29" s="5">
        <f>E19</f>
        <v>1539</v>
      </c>
      <c r="F29" s="14">
        <f>F19</f>
        <v>644</v>
      </c>
      <c r="G29" s="5"/>
      <c r="H29" s="5"/>
      <c r="I29" s="5"/>
      <c r="J29" s="5"/>
      <c r="K29" s="5"/>
      <c r="L29" s="5"/>
      <c r="M29" s="5"/>
      <c r="N29" s="5"/>
      <c r="O29" s="5"/>
      <c r="P29" s="5"/>
      <c r="Q29" s="5"/>
      <c r="R29" s="5"/>
    </row>
    <row r="30" spans="1:18" x14ac:dyDescent="0.2">
      <c r="A30" s="5"/>
      <c r="B30" s="15">
        <v>2014</v>
      </c>
      <c r="C30" s="5">
        <f>C18</f>
        <v>123</v>
      </c>
      <c r="D30" s="5">
        <f>D18</f>
        <v>114</v>
      </c>
      <c r="E30" s="5">
        <f>E18</f>
        <v>1173</v>
      </c>
      <c r="F30" s="14">
        <f>F18</f>
        <v>354</v>
      </c>
      <c r="G30" s="5"/>
      <c r="H30" s="5"/>
      <c r="I30" s="5"/>
      <c r="J30" s="5"/>
      <c r="K30" s="5"/>
      <c r="L30" s="5"/>
      <c r="M30" s="5"/>
      <c r="N30" s="5"/>
      <c r="O30" s="5"/>
      <c r="P30" s="5"/>
      <c r="Q30" s="5"/>
      <c r="R30" s="5"/>
    </row>
    <row r="31" spans="1:18" x14ac:dyDescent="0.2">
      <c r="A31" s="5"/>
      <c r="B31" s="15">
        <v>2017</v>
      </c>
      <c r="C31" s="5">
        <f>C17</f>
        <v>43</v>
      </c>
      <c r="D31" s="5">
        <f>D17</f>
        <v>127</v>
      </c>
      <c r="E31" s="5">
        <f>E17</f>
        <v>1234</v>
      </c>
      <c r="F31" s="14">
        <f>F17</f>
        <v>273</v>
      </c>
      <c r="G31" s="5"/>
      <c r="H31" s="5"/>
      <c r="I31" s="5"/>
      <c r="J31" s="5"/>
      <c r="K31" s="5"/>
      <c r="L31" s="5"/>
      <c r="M31" s="5"/>
      <c r="N31" s="5"/>
      <c r="O31" s="5"/>
      <c r="P31" s="5"/>
      <c r="Q31" s="5"/>
      <c r="R31" s="5"/>
    </row>
    <row r="32" spans="1:18" x14ac:dyDescent="0.2">
      <c r="A32" s="5"/>
      <c r="B32" s="15">
        <v>2020</v>
      </c>
      <c r="C32" s="5">
        <f>C16</f>
        <v>68</v>
      </c>
      <c r="D32" s="5">
        <f>D16</f>
        <v>164</v>
      </c>
      <c r="E32" s="5">
        <f>E16</f>
        <v>1084</v>
      </c>
      <c r="F32" s="14">
        <f>F16</f>
        <v>180</v>
      </c>
      <c r="G32" s="5"/>
      <c r="H32" s="5"/>
      <c r="I32" s="5"/>
      <c r="J32" s="5"/>
      <c r="K32" s="5"/>
      <c r="L32" s="5"/>
      <c r="M32" s="5"/>
      <c r="N32" s="5"/>
      <c r="O32" s="5"/>
      <c r="P32" s="5"/>
      <c r="Q32" s="5"/>
      <c r="R32" s="5"/>
    </row>
    <row r="33" spans="1:18" x14ac:dyDescent="0.2">
      <c r="A33" s="5"/>
      <c r="B33" s="15">
        <v>2023</v>
      </c>
      <c r="C33" s="5">
        <f>C15</f>
        <v>38</v>
      </c>
      <c r="D33" s="5">
        <f>D15</f>
        <v>78</v>
      </c>
      <c r="E33" s="5">
        <f>E15</f>
        <v>387</v>
      </c>
      <c r="F33" s="14">
        <f>F15</f>
        <v>82</v>
      </c>
      <c r="G33" s="5"/>
      <c r="H33" s="5"/>
      <c r="I33" s="5"/>
      <c r="J33" s="5"/>
      <c r="K33" s="5"/>
      <c r="L33" s="5"/>
      <c r="M33" s="5"/>
      <c r="N33" s="5"/>
      <c r="O33" s="5"/>
      <c r="P33" s="5"/>
      <c r="Q33" s="5"/>
      <c r="R33" s="5"/>
    </row>
    <row r="34" spans="1:18" x14ac:dyDescent="0.2">
      <c r="A34" s="5"/>
      <c r="B34" s="36">
        <v>2026</v>
      </c>
      <c r="C34" s="84">
        <f>C33+C23</f>
        <v>28.555555555555557</v>
      </c>
      <c r="D34" s="84">
        <f>D33+D23</f>
        <v>74</v>
      </c>
      <c r="E34" s="84">
        <f>E33+E23</f>
        <v>299.66666666666669</v>
      </c>
      <c r="F34" s="85">
        <f>F33+F23</f>
        <v>51.777777777777779</v>
      </c>
      <c r="G34" s="5"/>
      <c r="H34" s="5"/>
      <c r="I34" s="5"/>
      <c r="J34" s="5"/>
      <c r="K34" s="5"/>
      <c r="L34" s="5"/>
      <c r="M34" s="5"/>
      <c r="N34" s="5"/>
      <c r="O34" s="5"/>
      <c r="P34" s="5"/>
      <c r="Q34" s="5"/>
      <c r="R34" s="5"/>
    </row>
    <row r="35" spans="1:18" x14ac:dyDescent="0.2">
      <c r="A35" s="5"/>
      <c r="B35" s="15">
        <v>2029</v>
      </c>
      <c r="C35" s="61">
        <f>C34+C23</f>
        <v>19.111111111111114</v>
      </c>
      <c r="D35" s="61">
        <f>D34+D23</f>
        <v>70</v>
      </c>
      <c r="E35" s="61">
        <f>E34+E23</f>
        <v>212.33333333333337</v>
      </c>
      <c r="F35" s="38">
        <f>F34+F23</f>
        <v>21.555555555555557</v>
      </c>
      <c r="G35" s="5"/>
      <c r="H35" s="5"/>
      <c r="I35" s="5"/>
      <c r="J35" s="5"/>
      <c r="K35" s="5"/>
      <c r="L35" s="5"/>
      <c r="M35" s="5"/>
      <c r="N35" s="5"/>
      <c r="O35" s="5"/>
      <c r="P35" s="5"/>
      <c r="Q35" s="5"/>
      <c r="R35" s="5"/>
    </row>
    <row r="36" spans="1:18" x14ac:dyDescent="0.2">
      <c r="A36" s="5"/>
      <c r="B36" s="15">
        <v>2032</v>
      </c>
      <c r="C36" s="61">
        <f>C35+C23</f>
        <v>9.6666666666666696</v>
      </c>
      <c r="D36" s="61">
        <f>D35+D23</f>
        <v>66</v>
      </c>
      <c r="E36" s="61">
        <f>E35+E23</f>
        <v>125.00000000000004</v>
      </c>
      <c r="F36" s="87">
        <f>F35+F23</f>
        <v>-8.6666666666666643</v>
      </c>
      <c r="G36" s="5"/>
      <c r="H36" s="5"/>
      <c r="I36" s="5"/>
      <c r="J36" s="5"/>
      <c r="K36" s="5"/>
      <c r="L36" s="5"/>
      <c r="M36" s="5"/>
      <c r="N36" s="5"/>
      <c r="O36" s="5"/>
      <c r="P36" s="5"/>
      <c r="Q36" s="5"/>
      <c r="R36" s="5"/>
    </row>
    <row r="37" spans="1:18" x14ac:dyDescent="0.2">
      <c r="A37" s="5"/>
      <c r="B37" s="15">
        <v>2035</v>
      </c>
      <c r="C37" s="86">
        <f>C36+C23</f>
        <v>0.22222222222222499</v>
      </c>
      <c r="D37" s="61">
        <f>D36+D23</f>
        <v>62</v>
      </c>
      <c r="E37" s="61">
        <f>E36+E23</f>
        <v>37.666666666666714</v>
      </c>
      <c r="F37" s="38">
        <f>F36+F23</f>
        <v>-38.888888888888886</v>
      </c>
      <c r="G37" s="5"/>
      <c r="H37" s="5"/>
      <c r="I37" s="5"/>
      <c r="J37" s="5"/>
      <c r="K37" s="5"/>
      <c r="L37" s="5"/>
      <c r="M37" s="5"/>
      <c r="N37" s="5"/>
      <c r="O37" s="5"/>
      <c r="P37" s="5"/>
      <c r="Q37" s="5"/>
      <c r="R37" s="5"/>
    </row>
    <row r="38" spans="1:18" x14ac:dyDescent="0.2">
      <c r="A38" s="5"/>
      <c r="B38" s="15">
        <v>2038</v>
      </c>
      <c r="C38" s="61">
        <f>C37+C23</f>
        <v>-9.2222222222222197</v>
      </c>
      <c r="D38" s="61">
        <f>D37+D23</f>
        <v>58</v>
      </c>
      <c r="E38" s="61">
        <f>E37+E23</f>
        <v>-49.666666666666615</v>
      </c>
      <c r="F38" s="38">
        <f>F37+F23</f>
        <v>-69.111111111111114</v>
      </c>
      <c r="G38" s="5"/>
      <c r="H38" s="5"/>
      <c r="I38" s="5"/>
      <c r="J38" s="5"/>
      <c r="K38" s="5"/>
      <c r="L38" s="5"/>
      <c r="M38" s="5"/>
      <c r="N38" s="5"/>
      <c r="O38" s="5"/>
      <c r="P38" s="5"/>
      <c r="Q38" s="5"/>
      <c r="R38" s="5"/>
    </row>
    <row r="39" spans="1:18" x14ac:dyDescent="0.2">
      <c r="A39" s="5"/>
      <c r="B39" s="75">
        <v>2041</v>
      </c>
      <c r="C39" s="66">
        <f>C38+C23</f>
        <v>-18.666666666666664</v>
      </c>
      <c r="D39" s="66">
        <f>D38+D23</f>
        <v>54</v>
      </c>
      <c r="E39" s="66">
        <f>E38+E23</f>
        <v>-136.99999999999994</v>
      </c>
      <c r="F39" s="81">
        <f>F38+F23</f>
        <v>-99.333333333333343</v>
      </c>
      <c r="G39" s="5"/>
      <c r="H39" s="5"/>
      <c r="I39" s="5"/>
      <c r="J39" s="5"/>
      <c r="K39" s="5"/>
      <c r="L39" s="5"/>
      <c r="M39" s="5"/>
      <c r="N39" s="5"/>
      <c r="O39" s="5"/>
      <c r="P39" s="5"/>
      <c r="Q39" s="5"/>
      <c r="R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C42" s="5"/>
      <c r="D42" s="5"/>
      <c r="E42" s="5"/>
      <c r="F42" s="5"/>
      <c r="G42" s="5"/>
      <c r="H42" s="5"/>
      <c r="I42" s="5"/>
      <c r="J42" s="5"/>
      <c r="K42" s="5"/>
      <c r="L42" s="5"/>
      <c r="M42" s="5"/>
      <c r="N42" s="5"/>
      <c r="O42" s="5"/>
      <c r="P42" s="5"/>
      <c r="Q42" s="5"/>
      <c r="R42" s="5"/>
    </row>
    <row r="43" spans="1:18" ht="14.25" x14ac:dyDescent="0.2">
      <c r="A43" s="5"/>
      <c r="B43" s="82" t="s">
        <v>113</v>
      </c>
      <c r="C43" s="5"/>
      <c r="D43" s="5"/>
      <c r="E43" s="5"/>
      <c r="F43" s="5"/>
      <c r="G43" s="5"/>
      <c r="H43" s="5"/>
      <c r="I43" s="5"/>
      <c r="J43" s="5"/>
      <c r="K43" s="5"/>
      <c r="L43" s="5"/>
      <c r="M43" s="5"/>
      <c r="N43" s="5"/>
      <c r="O43" s="5"/>
      <c r="P43" s="5"/>
      <c r="Q43" s="5"/>
      <c r="R43" s="5"/>
    </row>
    <row r="44" spans="1:18" ht="17.25" customHeight="1" x14ac:dyDescent="0.2">
      <c r="A44" s="5"/>
      <c r="B44" s="100">
        <v>2023</v>
      </c>
      <c r="C44" s="101" t="s">
        <v>78</v>
      </c>
      <c r="D44" s="101" t="s">
        <v>105</v>
      </c>
      <c r="E44" s="101" t="s">
        <v>107</v>
      </c>
      <c r="F44" s="101" t="s">
        <v>108</v>
      </c>
      <c r="G44" s="101" t="s">
        <v>109</v>
      </c>
      <c r="H44" s="102" t="s">
        <v>110</v>
      </c>
      <c r="I44" s="5"/>
      <c r="J44" s="5"/>
      <c r="K44" s="5"/>
      <c r="L44" s="5"/>
      <c r="M44" s="5"/>
      <c r="N44" s="5"/>
      <c r="O44" s="5"/>
      <c r="P44" s="5"/>
      <c r="Q44" s="5"/>
      <c r="R44" s="5"/>
    </row>
    <row r="45" spans="1:18" x14ac:dyDescent="0.2">
      <c r="A45" s="5"/>
      <c r="B45" s="15" t="s">
        <v>104</v>
      </c>
      <c r="C45" s="61">
        <f>Klimaregnskab!C30</f>
        <v>39078.310000000005</v>
      </c>
      <c r="D45" s="5">
        <f>Metadata!F24+Metadata!F25+Metadata!F26+Metadata!F27</f>
        <v>2547847</v>
      </c>
      <c r="E45" s="93">
        <f>C45/D45</f>
        <v>1.5337777346912905E-2</v>
      </c>
      <c r="F45" s="61">
        <f>E45*1000</f>
        <v>15.337777346912905</v>
      </c>
      <c r="G45" s="5">
        <f>F45/100*40</f>
        <v>6.1351109387651617</v>
      </c>
      <c r="H45" s="38">
        <f>F45-G45</f>
        <v>9.2026664081477421</v>
      </c>
      <c r="I45" s="5"/>
      <c r="J45" s="5"/>
      <c r="K45" s="5"/>
      <c r="L45" s="5"/>
      <c r="M45" s="5"/>
      <c r="N45" s="5"/>
      <c r="O45" s="5"/>
      <c r="P45" s="5"/>
      <c r="Q45" s="5"/>
      <c r="R45" s="5"/>
    </row>
    <row r="46" spans="1:18" x14ac:dyDescent="0.2">
      <c r="A46" s="5"/>
      <c r="B46" s="15" t="s">
        <v>106</v>
      </c>
      <c r="C46" s="61">
        <f>Klimaregnskab!C31</f>
        <v>30168.359564150411</v>
      </c>
      <c r="D46" s="5">
        <f>Metadata!F29</f>
        <v>1703071</v>
      </c>
      <c r="E46" s="93">
        <f>C46/D46</f>
        <v>1.7714093871688503E-2</v>
      </c>
      <c r="F46" s="61">
        <f>E46*1000</f>
        <v>17.714093871688505</v>
      </c>
      <c r="G46" s="5">
        <f>F46/100*40</f>
        <v>7.0856375486754022</v>
      </c>
      <c r="H46" s="38">
        <f>F46-G46</f>
        <v>10.628456323013102</v>
      </c>
      <c r="I46" s="5"/>
      <c r="J46" s="5"/>
      <c r="K46" s="5"/>
      <c r="L46" s="5"/>
      <c r="M46" s="5"/>
      <c r="N46" s="5"/>
      <c r="O46" s="5"/>
      <c r="P46" s="5"/>
      <c r="Q46" s="5"/>
      <c r="R46" s="5"/>
    </row>
    <row r="47" spans="1:18" x14ac:dyDescent="0.2">
      <c r="A47" s="5"/>
      <c r="B47" s="94" t="s">
        <v>39</v>
      </c>
      <c r="C47" s="95">
        <f>SUM(C45:C46)</f>
        <v>69246.669564150419</v>
      </c>
      <c r="D47" s="96">
        <f>SUM(D45:D46)</f>
        <v>4250918</v>
      </c>
      <c r="E47" s="97">
        <f>C47/D47</f>
        <v>1.6289815414964583E-2</v>
      </c>
      <c r="F47" s="95">
        <f>E47*1000</f>
        <v>16.289815414964583</v>
      </c>
      <c r="G47" s="96">
        <f>F47/100*40</f>
        <v>6.5159261659858325</v>
      </c>
      <c r="H47" s="98">
        <f>F47-G47</f>
        <v>9.773889248978751</v>
      </c>
      <c r="I47" s="5"/>
      <c r="J47" s="5"/>
      <c r="K47" s="5"/>
      <c r="L47" s="5"/>
      <c r="M47" s="5"/>
      <c r="N47" s="5"/>
      <c r="O47" s="5"/>
      <c r="P47" s="5"/>
      <c r="Q47" s="5"/>
      <c r="R47" s="5"/>
    </row>
    <row r="48" spans="1:18" x14ac:dyDescent="0.2">
      <c r="A48" s="5"/>
      <c r="B48" s="5"/>
      <c r="C48" s="5"/>
      <c r="D48" s="5"/>
      <c r="E48" s="5"/>
      <c r="F48" s="5"/>
      <c r="G48" s="5"/>
      <c r="H48" s="5"/>
      <c r="I48" s="5"/>
      <c r="J48" s="5"/>
      <c r="K48" s="5"/>
      <c r="L48" s="5"/>
      <c r="M48" s="5"/>
      <c r="N48" s="5"/>
      <c r="O48" s="5"/>
      <c r="P48" s="5"/>
      <c r="Q48" s="5"/>
      <c r="R48" s="5"/>
    </row>
    <row r="49" spans="1:18" x14ac:dyDescent="0.2">
      <c r="A49" s="5"/>
      <c r="B49" s="5"/>
      <c r="C49" s="5"/>
      <c r="D49" s="5"/>
      <c r="E49" s="5"/>
      <c r="F49" s="5"/>
      <c r="G49" s="5"/>
      <c r="H49" s="5"/>
      <c r="I49" s="5"/>
      <c r="J49" s="5"/>
      <c r="K49" s="5"/>
      <c r="L49" s="5"/>
      <c r="M49" s="5"/>
      <c r="N49" s="5"/>
      <c r="O49" s="5"/>
      <c r="P49" s="5"/>
      <c r="Q49" s="5"/>
      <c r="R49" s="5"/>
    </row>
    <row r="50" spans="1:18" x14ac:dyDescent="0.2">
      <c r="A50" s="5"/>
      <c r="B50" s="5"/>
      <c r="C50" s="5"/>
      <c r="D50" s="5"/>
      <c r="E50" s="5"/>
      <c r="F50" s="5"/>
      <c r="G50" s="5"/>
      <c r="H50" s="5"/>
      <c r="I50" s="5"/>
      <c r="J50" s="5"/>
      <c r="K50" s="5"/>
      <c r="L50" s="5"/>
      <c r="M50" s="5"/>
      <c r="N50" s="5"/>
      <c r="O50" s="5"/>
      <c r="P50" s="5"/>
      <c r="Q50" s="5"/>
      <c r="R50" s="5"/>
    </row>
    <row r="51" spans="1:18" x14ac:dyDescent="0.2">
      <c r="A51" s="5"/>
      <c r="B51" s="5"/>
      <c r="C51" s="5"/>
      <c r="D51" s="5"/>
      <c r="E51" s="5"/>
      <c r="F51" s="5"/>
      <c r="G51" s="5"/>
      <c r="H51" s="5"/>
      <c r="I51" s="5"/>
      <c r="J51" s="5"/>
      <c r="K51" s="5"/>
      <c r="L51" s="5"/>
      <c r="M51" s="5"/>
      <c r="N51" s="5"/>
      <c r="O51" s="5"/>
      <c r="P51" s="5"/>
      <c r="Q51" s="5"/>
      <c r="R51" s="5"/>
    </row>
    <row r="52" spans="1:18" x14ac:dyDescent="0.2">
      <c r="A52" s="5"/>
      <c r="B52" s="5"/>
      <c r="C52" s="5"/>
      <c r="D52" s="5"/>
      <c r="E52" s="5"/>
      <c r="F52" s="5"/>
      <c r="G52" s="5"/>
      <c r="H52" s="5"/>
      <c r="I52" s="5"/>
      <c r="J52" s="5"/>
      <c r="K52" s="5"/>
      <c r="L52" s="5"/>
      <c r="M52" s="5"/>
      <c r="N52" s="5"/>
      <c r="O52" s="5"/>
      <c r="P52" s="5"/>
      <c r="Q52" s="5"/>
      <c r="R52" s="5"/>
    </row>
    <row r="53" spans="1:18" x14ac:dyDescent="0.2">
      <c r="A53" s="5"/>
      <c r="B53" s="5"/>
      <c r="C53" s="5"/>
      <c r="D53" s="5"/>
      <c r="E53" s="5"/>
      <c r="F53" s="5"/>
      <c r="G53" s="5"/>
      <c r="H53" s="5"/>
      <c r="I53" s="5"/>
      <c r="J53" s="5"/>
      <c r="K53" s="5"/>
      <c r="L53" s="5"/>
      <c r="M53" s="5"/>
      <c r="N53" s="5"/>
      <c r="O53" s="5"/>
      <c r="P53" s="5"/>
      <c r="Q53" s="5"/>
      <c r="R53" s="5"/>
    </row>
    <row r="54" spans="1:18" x14ac:dyDescent="0.2">
      <c r="A54" s="5"/>
      <c r="B54" s="5"/>
      <c r="C54" s="5"/>
      <c r="D54" s="5"/>
      <c r="E54" s="5"/>
      <c r="F54" s="5"/>
      <c r="G54" s="5"/>
      <c r="H54" s="5"/>
      <c r="I54" s="5"/>
      <c r="J54" s="5"/>
      <c r="K54" s="5"/>
      <c r="L54" s="5"/>
      <c r="M54" s="5"/>
      <c r="N54" s="5"/>
      <c r="O54" s="5"/>
      <c r="P54" s="5"/>
      <c r="Q54" s="5"/>
      <c r="R54" s="5"/>
    </row>
    <row r="55" spans="1:18" x14ac:dyDescent="0.2">
      <c r="A55" s="5"/>
      <c r="B55" s="5"/>
      <c r="C55" s="5"/>
      <c r="D55" s="5"/>
      <c r="E55" s="5"/>
      <c r="F55" s="5"/>
      <c r="G55" s="5"/>
      <c r="H55" s="5"/>
      <c r="I55" s="5"/>
      <c r="J55" s="5"/>
      <c r="K55" s="5"/>
      <c r="L55" s="5"/>
      <c r="M55" s="5"/>
      <c r="N55" s="5"/>
      <c r="O55" s="5"/>
      <c r="P55" s="5"/>
      <c r="Q55" s="5"/>
      <c r="R55" s="5"/>
    </row>
    <row r="56" spans="1:18" x14ac:dyDescent="0.2">
      <c r="A56" s="5"/>
      <c r="B56" s="5"/>
      <c r="C56" s="5"/>
      <c r="D56" s="5"/>
      <c r="E56" s="5"/>
      <c r="F56" s="5"/>
      <c r="G56" s="5"/>
      <c r="H56" s="5"/>
      <c r="I56" s="5"/>
      <c r="J56" s="5"/>
      <c r="K56" s="5"/>
      <c r="L56" s="5"/>
      <c r="M56" s="5"/>
      <c r="N56" s="5"/>
      <c r="O56" s="5"/>
      <c r="P56" s="5"/>
      <c r="Q56" s="5"/>
      <c r="R56" s="5"/>
    </row>
    <row r="57" spans="1:18" x14ac:dyDescent="0.2">
      <c r="A57" s="5"/>
      <c r="B57" s="5"/>
      <c r="C57" s="5"/>
      <c r="D57" s="5"/>
      <c r="E57" s="5"/>
      <c r="F57" s="5"/>
      <c r="G57" s="5"/>
      <c r="H57" s="5"/>
      <c r="I57" s="5"/>
      <c r="J57" s="5"/>
      <c r="K57" s="5"/>
      <c r="L57" s="5"/>
      <c r="M57" s="5"/>
      <c r="N57" s="5"/>
      <c r="O57" s="5"/>
      <c r="P57" s="5"/>
      <c r="Q57" s="5"/>
      <c r="R57" s="5"/>
    </row>
    <row r="58" spans="1:18" x14ac:dyDescent="0.2">
      <c r="A58" s="5"/>
      <c r="B58" s="5"/>
      <c r="C58" s="5"/>
      <c r="D58" s="5"/>
      <c r="E58" s="5"/>
      <c r="F58" s="5"/>
      <c r="G58" s="5"/>
      <c r="H58" s="5"/>
      <c r="I58" s="5"/>
      <c r="J58" s="5"/>
      <c r="K58" s="5"/>
      <c r="L58" s="5"/>
      <c r="M58" s="5"/>
      <c r="N58" s="5"/>
      <c r="O58" s="5"/>
      <c r="P58" s="5"/>
      <c r="Q58" s="5"/>
      <c r="R58" s="5"/>
    </row>
    <row r="59" spans="1:18" x14ac:dyDescent="0.2">
      <c r="A59" s="5"/>
      <c r="B59" s="5"/>
      <c r="C59" s="5"/>
      <c r="D59" s="5"/>
      <c r="E59" s="5"/>
      <c r="F59" s="5"/>
      <c r="G59" s="5"/>
      <c r="H59" s="5"/>
      <c r="I59" s="5"/>
      <c r="J59" s="5"/>
      <c r="K59" s="5"/>
      <c r="L59" s="5"/>
      <c r="M59" s="5"/>
      <c r="N59" s="5"/>
      <c r="O59" s="5"/>
      <c r="P59" s="5"/>
      <c r="Q59" s="5"/>
      <c r="R59" s="5"/>
    </row>
    <row r="60" spans="1:18" x14ac:dyDescent="0.2">
      <c r="A60" s="5"/>
      <c r="B60" s="5"/>
      <c r="C60" s="5"/>
      <c r="D60" s="5"/>
      <c r="E60" s="5"/>
      <c r="F60" s="5"/>
      <c r="G60" s="5"/>
      <c r="H60" s="5"/>
      <c r="I60" s="5"/>
      <c r="J60" s="5"/>
      <c r="K60" s="5"/>
      <c r="L60" s="5"/>
      <c r="M60" s="5"/>
      <c r="N60" s="5"/>
      <c r="O60" s="5"/>
      <c r="P60" s="5"/>
      <c r="Q60" s="5"/>
      <c r="R60" s="5"/>
    </row>
    <row r="61" spans="1:18" x14ac:dyDescent="0.2">
      <c r="A61" s="5"/>
      <c r="B61" s="5"/>
      <c r="C61" s="5"/>
      <c r="D61" s="5"/>
      <c r="E61" s="5"/>
      <c r="F61" s="5"/>
      <c r="G61" s="5"/>
      <c r="H61" s="5"/>
      <c r="I61" s="5"/>
      <c r="J61" s="5"/>
      <c r="K61" s="5"/>
      <c r="L61" s="5"/>
      <c r="M61" s="5"/>
      <c r="N61" s="5"/>
      <c r="O61" s="5"/>
      <c r="P61" s="5"/>
      <c r="Q61" s="5"/>
      <c r="R61" s="5"/>
    </row>
    <row r="62" spans="1:18" x14ac:dyDescent="0.2">
      <c r="A62" s="5"/>
      <c r="B62" s="5"/>
      <c r="C62" s="5"/>
      <c r="D62" s="5"/>
      <c r="E62" s="5"/>
      <c r="F62" s="5"/>
      <c r="G62" s="5"/>
      <c r="H62" s="5"/>
      <c r="I62" s="5"/>
      <c r="J62" s="5"/>
      <c r="K62" s="5"/>
      <c r="L62" s="5"/>
      <c r="M62" s="5"/>
      <c r="N62" s="5"/>
      <c r="O62" s="5"/>
      <c r="P62" s="5"/>
      <c r="Q62" s="5"/>
      <c r="R62" s="5"/>
    </row>
    <row r="63" spans="1:18" x14ac:dyDescent="0.2">
      <c r="A63" s="5"/>
      <c r="B63" s="5"/>
      <c r="C63" s="5"/>
      <c r="D63" s="5"/>
      <c r="E63" s="5"/>
      <c r="F63" s="5"/>
      <c r="G63" s="5"/>
      <c r="H63" s="5"/>
      <c r="I63" s="5"/>
      <c r="J63" s="5"/>
      <c r="K63" s="5"/>
      <c r="L63" s="5"/>
      <c r="M63" s="5"/>
      <c r="N63" s="5"/>
      <c r="O63" s="5"/>
      <c r="P63" s="5"/>
      <c r="Q63" s="5"/>
      <c r="R63" s="5"/>
    </row>
    <row r="64" spans="1:18" x14ac:dyDescent="0.2">
      <c r="A64" s="5"/>
      <c r="B64" s="5"/>
      <c r="C64" s="5"/>
      <c r="D64" s="5"/>
      <c r="E64" s="5"/>
      <c r="F64" s="5"/>
      <c r="G64" s="5"/>
      <c r="H64" s="5"/>
      <c r="I64" s="5"/>
      <c r="J64" s="5"/>
      <c r="K64" s="5"/>
      <c r="L64" s="5"/>
      <c r="M64" s="5"/>
      <c r="N64" s="5"/>
      <c r="O64" s="5"/>
      <c r="P64" s="5"/>
      <c r="Q64" s="5"/>
      <c r="R64" s="5"/>
    </row>
    <row r="65" spans="1:18" x14ac:dyDescent="0.2">
      <c r="A65" s="5"/>
      <c r="B65" s="5"/>
      <c r="C65" s="5"/>
      <c r="D65" s="5"/>
      <c r="E65" s="5"/>
      <c r="F65" s="5"/>
      <c r="G65" s="5"/>
      <c r="H65" s="5"/>
      <c r="I65" s="5"/>
      <c r="J65" s="5"/>
      <c r="K65" s="5"/>
      <c r="L65" s="5"/>
      <c r="M65" s="5"/>
      <c r="N65" s="5"/>
      <c r="O65" s="5"/>
      <c r="P65" s="5"/>
      <c r="Q65" s="5"/>
      <c r="R65" s="5"/>
    </row>
    <row r="66" spans="1:18" x14ac:dyDescent="0.2">
      <c r="A66" s="5"/>
      <c r="B66" s="5"/>
      <c r="C66" s="5"/>
      <c r="D66" s="5"/>
      <c r="E66" s="5"/>
      <c r="F66" s="5"/>
      <c r="G66" s="5"/>
      <c r="H66" s="5"/>
      <c r="I66" s="5"/>
      <c r="J66" s="5"/>
      <c r="K66" s="5"/>
      <c r="L66" s="5"/>
      <c r="M66" s="5"/>
      <c r="N66" s="5"/>
      <c r="O66" s="5"/>
      <c r="P66" s="5"/>
      <c r="Q66" s="5"/>
      <c r="R66" s="5"/>
    </row>
    <row r="67" spans="1:18" x14ac:dyDescent="0.2">
      <c r="A67" s="5"/>
      <c r="B67" s="5"/>
      <c r="C67" s="5"/>
      <c r="D67" s="5"/>
      <c r="E67" s="5"/>
      <c r="F67" s="5"/>
      <c r="G67" s="5"/>
      <c r="H67" s="5"/>
      <c r="I67" s="5"/>
      <c r="J67" s="5"/>
      <c r="K67" s="5"/>
      <c r="L67" s="5"/>
      <c r="M67" s="5"/>
      <c r="N67" s="5"/>
      <c r="O67" s="5"/>
      <c r="P67" s="5"/>
      <c r="Q67" s="5"/>
      <c r="R67" s="5"/>
    </row>
    <row r="68" spans="1:18" x14ac:dyDescent="0.2">
      <c r="A68" s="5"/>
      <c r="B68" s="5"/>
      <c r="C68" s="5"/>
      <c r="D68" s="5"/>
      <c r="E68" s="5"/>
      <c r="F68" s="5"/>
      <c r="G68" s="5"/>
      <c r="H68" s="5"/>
      <c r="I68" s="5"/>
      <c r="J68" s="5"/>
      <c r="K68" s="5"/>
      <c r="L68" s="5"/>
      <c r="M68" s="5"/>
      <c r="N68" s="5"/>
      <c r="O68" s="5"/>
      <c r="P68" s="5"/>
      <c r="Q68" s="5"/>
      <c r="R68" s="5"/>
    </row>
  </sheetData>
  <sortState xmlns:xlrd2="http://schemas.microsoft.com/office/spreadsheetml/2017/richdata2" ref="B27:B39">
    <sortCondition ref="B27:B39"/>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DFCE-E9A8-4367-B85B-859D067C6757}">
  <sheetPr codeName="Ark3"/>
  <dimension ref="A1:M55"/>
  <sheetViews>
    <sheetView topLeftCell="A22" workbookViewId="0">
      <selection activeCell="Q41" sqref="Q41"/>
    </sheetView>
  </sheetViews>
  <sheetFormatPr defaultRowHeight="12" x14ac:dyDescent="0.2"/>
  <cols>
    <col min="1" max="1" width="6.140625" customWidth="1"/>
    <col min="3" max="3" width="11.140625" customWidth="1"/>
    <col min="4" max="4" width="13.85546875" customWidth="1"/>
    <col min="5" max="5" width="15.28515625" customWidth="1"/>
    <col min="6" max="6" width="16.28515625" customWidth="1"/>
    <col min="7" max="8" width="12.7109375" customWidth="1"/>
    <col min="9" max="9" width="27" customWidth="1"/>
    <col min="10" max="10" width="25.85546875" customWidth="1"/>
  </cols>
  <sheetData>
    <row r="1" spans="1:13" x14ac:dyDescent="0.2">
      <c r="A1" s="5"/>
      <c r="B1" s="5"/>
      <c r="C1" s="5"/>
      <c r="D1" s="5"/>
      <c r="E1" s="5"/>
      <c r="F1" s="5"/>
      <c r="G1" s="5"/>
      <c r="H1" s="5"/>
      <c r="I1" s="5"/>
      <c r="J1" s="5"/>
      <c r="K1" s="5"/>
      <c r="L1" s="5"/>
      <c r="M1" s="5"/>
    </row>
    <row r="2" spans="1:13" x14ac:dyDescent="0.2">
      <c r="A2" s="5"/>
      <c r="B2" s="5"/>
      <c r="C2" s="5"/>
      <c r="D2" s="5"/>
      <c r="E2" s="5"/>
      <c r="F2" s="5"/>
      <c r="G2" s="5"/>
      <c r="H2" s="5"/>
      <c r="I2" s="5"/>
      <c r="J2" s="5"/>
      <c r="K2" s="5"/>
      <c r="L2" s="5"/>
      <c r="M2" s="5"/>
    </row>
    <row r="3" spans="1:13" ht="20.25" x14ac:dyDescent="0.3">
      <c r="A3" s="5"/>
      <c r="B3" s="51" t="s">
        <v>54</v>
      </c>
      <c r="C3" s="5"/>
      <c r="D3" s="5"/>
      <c r="E3" s="5"/>
      <c r="F3" s="5"/>
      <c r="G3" s="5"/>
      <c r="H3" s="5"/>
      <c r="I3" s="5"/>
      <c r="J3" s="5"/>
      <c r="K3" s="5"/>
      <c r="L3" s="5"/>
      <c r="M3" s="5"/>
    </row>
    <row r="4" spans="1:13" x14ac:dyDescent="0.2">
      <c r="A4" s="5"/>
      <c r="B4" s="5"/>
      <c r="C4" s="5"/>
      <c r="D4" s="5"/>
      <c r="E4" s="5"/>
      <c r="F4" s="5"/>
      <c r="G4" s="5"/>
      <c r="H4" s="5"/>
      <c r="I4" s="5"/>
      <c r="J4" s="5"/>
      <c r="K4" s="5"/>
      <c r="L4" s="5"/>
      <c r="M4" s="5"/>
    </row>
    <row r="5" spans="1:13" ht="18" x14ac:dyDescent="0.25">
      <c r="A5" s="1"/>
      <c r="B5" s="2" t="s">
        <v>19</v>
      </c>
      <c r="C5" s="1"/>
      <c r="D5" s="1"/>
      <c r="E5" s="1"/>
      <c r="F5" s="1"/>
      <c r="G5" s="1"/>
      <c r="H5" s="1"/>
      <c r="I5" s="1"/>
      <c r="J5" s="1"/>
      <c r="K5" s="1"/>
      <c r="L5" s="1"/>
      <c r="M5" s="1"/>
    </row>
    <row r="6" spans="1:13" x14ac:dyDescent="0.2">
      <c r="A6" s="5"/>
      <c r="B6" s="21" t="s">
        <v>23</v>
      </c>
      <c r="C6" s="6"/>
      <c r="D6" s="5"/>
      <c r="E6" s="5"/>
      <c r="F6" s="5"/>
      <c r="G6" s="5"/>
      <c r="H6" s="5"/>
      <c r="I6" s="5"/>
      <c r="J6" s="5"/>
      <c r="K6" s="5"/>
      <c r="L6" s="5"/>
      <c r="M6" s="5"/>
    </row>
    <row r="7" spans="1:13" x14ac:dyDescent="0.2">
      <c r="A7" s="5"/>
      <c r="B7" s="21"/>
      <c r="C7" s="6"/>
      <c r="D7" s="5"/>
      <c r="E7" s="5"/>
      <c r="F7" s="5"/>
      <c r="G7" s="5"/>
      <c r="H7" s="5"/>
      <c r="I7" s="5"/>
      <c r="J7" s="5"/>
      <c r="K7" s="5"/>
      <c r="L7" s="5"/>
      <c r="M7" s="5"/>
    </row>
    <row r="8" spans="1:13" ht="17.25" customHeight="1" x14ac:dyDescent="0.2">
      <c r="A8" s="5"/>
      <c r="B8" s="5"/>
      <c r="C8" s="5"/>
      <c r="D8" s="5"/>
      <c r="E8" s="5"/>
      <c r="F8" s="5"/>
      <c r="G8" s="5"/>
      <c r="H8" s="5"/>
      <c r="I8" s="5"/>
      <c r="J8" s="5"/>
      <c r="K8" s="5"/>
      <c r="L8" s="5"/>
      <c r="M8" s="5"/>
    </row>
    <row r="9" spans="1:13" ht="18.75" customHeight="1" x14ac:dyDescent="0.2">
      <c r="A9" s="5"/>
      <c r="B9" s="5"/>
      <c r="C9" s="6" t="s">
        <v>20</v>
      </c>
      <c r="D9" s="50" t="s">
        <v>6</v>
      </c>
      <c r="E9" s="50" t="s">
        <v>56</v>
      </c>
      <c r="F9" s="50" t="s">
        <v>8</v>
      </c>
      <c r="G9" s="50" t="s">
        <v>9</v>
      </c>
      <c r="H9" s="50" t="s">
        <v>10</v>
      </c>
      <c r="I9" s="6" t="s">
        <v>68</v>
      </c>
      <c r="J9" s="6" t="s">
        <v>69</v>
      </c>
      <c r="K9" s="5"/>
      <c r="L9" s="5"/>
      <c r="M9" s="5"/>
    </row>
    <row r="10" spans="1:13" ht="15" customHeight="1" x14ac:dyDescent="0.2">
      <c r="A10" s="5"/>
      <c r="B10" s="36"/>
      <c r="C10" s="52"/>
      <c r="D10" s="52" t="s">
        <v>53</v>
      </c>
      <c r="E10" s="52" t="s">
        <v>53</v>
      </c>
      <c r="F10" s="52" t="s">
        <v>53</v>
      </c>
      <c r="G10" s="52" t="s">
        <v>53</v>
      </c>
      <c r="H10" s="52" t="s">
        <v>53</v>
      </c>
      <c r="I10" s="52" t="s">
        <v>78</v>
      </c>
      <c r="J10" s="53" t="s">
        <v>78</v>
      </c>
      <c r="K10" s="5"/>
      <c r="L10" s="5"/>
      <c r="M10" s="5"/>
    </row>
    <row r="11" spans="1:13" x14ac:dyDescent="0.2">
      <c r="A11" s="5"/>
      <c r="B11" s="54" t="s">
        <v>26</v>
      </c>
      <c r="C11" s="5"/>
      <c r="D11" s="5"/>
      <c r="E11" s="5"/>
      <c r="F11" s="5"/>
      <c r="G11" s="5"/>
      <c r="H11" s="5"/>
      <c r="I11" s="5"/>
      <c r="J11" s="14"/>
      <c r="K11" s="5"/>
      <c r="L11" s="5"/>
      <c r="M11" s="5"/>
    </row>
    <row r="12" spans="1:13" x14ac:dyDescent="0.2">
      <c r="A12" s="5"/>
      <c r="B12" s="55">
        <v>2023</v>
      </c>
      <c r="C12" s="5"/>
      <c r="D12" s="5">
        <f>Metadata!D6*Emissionsfaktorer!$D$5</f>
        <v>3000.1</v>
      </c>
      <c r="E12" s="5">
        <f>Metadata!E6*Emissionsfaktorer!D6</f>
        <v>5694</v>
      </c>
      <c r="F12" s="5">
        <f>Metadata!F6*Emissionsfaktorer!D7</f>
        <v>22097.7</v>
      </c>
      <c r="G12" s="5">
        <f>Metadata!G6*Emissionsfaktorer!D8</f>
        <v>8286.51</v>
      </c>
      <c r="H12" s="5">
        <f>Metadata!H6*Emissionsfaktorer!D9</f>
        <v>10048.5</v>
      </c>
      <c r="I12" s="56">
        <f t="shared" ref="I12:I18" si="0">SUM(D12:H12)</f>
        <v>49126.810000000005</v>
      </c>
      <c r="J12" s="57">
        <f>I12-H12</f>
        <v>39078.310000000005</v>
      </c>
      <c r="K12" s="5"/>
      <c r="L12" s="5"/>
      <c r="M12" s="5"/>
    </row>
    <row r="13" spans="1:13" x14ac:dyDescent="0.2">
      <c r="A13" s="5"/>
      <c r="B13" s="55">
        <v>2020</v>
      </c>
      <c r="C13" s="5"/>
      <c r="D13" s="5">
        <f>Metadata!D7*Emissionsfaktorer!C16</f>
        <v>5400.56</v>
      </c>
      <c r="E13" s="5">
        <f>Metadata!E7*Emissionsfaktorer!C17</f>
        <v>12152.4</v>
      </c>
      <c r="F13" s="5">
        <f>Metadata!F7*Emissionsfaktorer!C18</f>
        <v>60183.68</v>
      </c>
      <c r="G13" s="5">
        <f>Metadata!G7*Emissionsfaktorer!C19</f>
        <v>18101.7</v>
      </c>
      <c r="H13" s="5">
        <f>Metadata!H7*Emissionsfaktorer!C20</f>
        <v>4060</v>
      </c>
      <c r="I13" s="56">
        <f t="shared" si="0"/>
        <v>99898.34</v>
      </c>
      <c r="J13" s="57">
        <f>I13-H13</f>
        <v>95838.34</v>
      </c>
      <c r="K13" s="5"/>
      <c r="L13" s="5"/>
      <c r="M13" s="5"/>
    </row>
    <row r="14" spans="1:13" x14ac:dyDescent="0.2">
      <c r="A14" s="5"/>
      <c r="B14" s="55">
        <v>2017</v>
      </c>
      <c r="C14" s="5"/>
      <c r="D14" s="5">
        <f>Metadata!D8*Emissionsfaktorer!D16</f>
        <v>3379.7999999999997</v>
      </c>
      <c r="E14" s="5">
        <f>Metadata!E8*Emissionsfaktorer!D17</f>
        <v>9410.6999999999989</v>
      </c>
      <c r="F14" s="5">
        <f>Metadata!F8*Emissionsfaktorer!D18</f>
        <v>70338</v>
      </c>
      <c r="G14" s="5">
        <f>Metadata!G8*Emissionsfaktorer!D19</f>
        <v>27518.399999999998</v>
      </c>
      <c r="H14" s="5">
        <f>Metadata!H8*Emissionsfaktorer!D20</f>
        <v>7815.5</v>
      </c>
      <c r="I14" s="56">
        <f t="shared" si="0"/>
        <v>118462.39999999999</v>
      </c>
      <c r="J14" s="57">
        <f>I14-H14</f>
        <v>110646.9</v>
      </c>
      <c r="K14" s="5"/>
      <c r="L14" s="5"/>
      <c r="M14" s="5"/>
    </row>
    <row r="15" spans="1:13" x14ac:dyDescent="0.2">
      <c r="A15" s="5"/>
      <c r="B15" s="55">
        <v>2014</v>
      </c>
      <c r="C15" s="5"/>
      <c r="D15" s="5">
        <f>Metadata!D9*Emissionsfaktorer!E16</f>
        <v>9520.2000000000007</v>
      </c>
      <c r="E15" s="5">
        <f>Metadata!E9*Emissionsfaktorer!E17</f>
        <v>8436</v>
      </c>
      <c r="F15" s="5">
        <f>Metadata!F9*Emissionsfaktorer!E18</f>
        <v>66614.67</v>
      </c>
      <c r="G15" s="5">
        <f>Metadata!G9*Emissionsfaktorer!E19</f>
        <v>35683.199999999997</v>
      </c>
      <c r="H15" s="5">
        <f>Metadata!H9*Emissionsfaktorer!E20</f>
        <v>3248</v>
      </c>
      <c r="I15" s="56">
        <f t="shared" si="0"/>
        <v>123502.06999999999</v>
      </c>
      <c r="J15" s="57">
        <f t="shared" ref="J15:J18" si="1">I15-H15</f>
        <v>120254.06999999999</v>
      </c>
      <c r="K15" s="5"/>
      <c r="L15" s="5"/>
      <c r="M15" s="5"/>
    </row>
    <row r="16" spans="1:13" x14ac:dyDescent="0.2">
      <c r="A16" s="5"/>
      <c r="B16" s="55">
        <v>2011</v>
      </c>
      <c r="C16" s="5"/>
      <c r="D16" s="5">
        <f>Metadata!D10*Emissionsfaktorer!F16</f>
        <v>25155.000000000004</v>
      </c>
      <c r="E16" s="5">
        <f>Metadata!E10*Emissionsfaktorer!F17</f>
        <v>7030</v>
      </c>
      <c r="F16" s="5">
        <f>Metadata!F10*Emissionsfaktorer!F18</f>
        <v>87676.83</v>
      </c>
      <c r="G16" s="5">
        <f>Metadata!G10*Emissionsfaktorer!F19</f>
        <v>65237.2</v>
      </c>
      <c r="H16" s="5">
        <f>Metadata!H10*Emissionsfaktorer!F20</f>
        <v>1928.5</v>
      </c>
      <c r="I16" s="56">
        <f t="shared" si="0"/>
        <v>187027.53</v>
      </c>
      <c r="J16" s="57">
        <f t="shared" si="1"/>
        <v>185099.03</v>
      </c>
      <c r="K16" s="5"/>
      <c r="L16" s="5"/>
      <c r="M16" s="5"/>
    </row>
    <row r="17" spans="1:13" x14ac:dyDescent="0.2">
      <c r="A17" s="5"/>
      <c r="B17" s="55">
        <v>2008</v>
      </c>
      <c r="C17" s="5"/>
      <c r="D17" s="5">
        <f>Metadata!D11*Emissionsfaktorer!G16</f>
        <v>48282</v>
      </c>
      <c r="E17" s="5">
        <f>Metadata!E11*Emissionsfaktorer!G17</f>
        <v>40922</v>
      </c>
      <c r="F17" s="5">
        <f>Metadata!F11*Emissionsfaktorer!G18</f>
        <v>83338.36</v>
      </c>
      <c r="G17" s="5">
        <f>Metadata!G11*Emissionsfaktorer!G19</f>
        <v>82722.5</v>
      </c>
      <c r="H17" s="5">
        <f>Metadata!H11*Emissionsfaktorer!G20</f>
        <v>2740.5</v>
      </c>
      <c r="I17" s="56">
        <f t="shared" si="0"/>
        <v>258005.36</v>
      </c>
      <c r="J17" s="57">
        <f t="shared" si="1"/>
        <v>255264.86</v>
      </c>
      <c r="K17" s="5"/>
      <c r="L17" s="5"/>
      <c r="M17" s="5"/>
    </row>
    <row r="18" spans="1:13" x14ac:dyDescent="0.2">
      <c r="A18" s="5"/>
      <c r="B18" s="58">
        <v>2005</v>
      </c>
      <c r="C18" s="16"/>
      <c r="D18" s="16">
        <f>Metadata!D12*Emissionsfaktorer!H16</f>
        <v>71726.850000000006</v>
      </c>
      <c r="E18" s="16">
        <f>Metadata!E12*Emissionsfaktorer!H17</f>
        <v>17179.47</v>
      </c>
      <c r="F18" s="16">
        <f>Metadata!F12*Emissionsfaktorer!H18</f>
        <v>135052.75</v>
      </c>
      <c r="G18" s="16">
        <f>Metadata!G12*Emissionsfaktorer!H19</f>
        <v>78020.94</v>
      </c>
      <c r="H18" s="16">
        <f>Metadata!H12*Emissionsfaktorer!H20</f>
        <v>2030</v>
      </c>
      <c r="I18" s="59">
        <f t="shared" si="0"/>
        <v>304010.01</v>
      </c>
      <c r="J18" s="60">
        <f t="shared" si="1"/>
        <v>301980.01</v>
      </c>
      <c r="K18" s="5"/>
      <c r="L18" s="5"/>
      <c r="M18" s="5"/>
    </row>
    <row r="19" spans="1:13" x14ac:dyDescent="0.2">
      <c r="A19" s="5"/>
      <c r="B19" s="5"/>
      <c r="C19" s="5"/>
      <c r="D19" s="5"/>
      <c r="E19" s="5"/>
      <c r="F19" s="5"/>
      <c r="G19" s="5"/>
      <c r="H19" s="5"/>
      <c r="I19" s="5"/>
      <c r="J19" s="5"/>
      <c r="K19" s="5"/>
      <c r="L19" s="5"/>
      <c r="M19" s="5"/>
    </row>
    <row r="20" spans="1:13" x14ac:dyDescent="0.2">
      <c r="A20" s="5"/>
      <c r="B20" s="6"/>
      <c r="C20" s="5"/>
      <c r="D20" s="5"/>
      <c r="E20" s="5"/>
      <c r="F20" s="5"/>
      <c r="G20" s="5"/>
      <c r="H20" s="5"/>
      <c r="I20" s="5"/>
      <c r="J20" s="5"/>
      <c r="K20" s="5"/>
      <c r="L20" s="5"/>
      <c r="M20" s="5"/>
    </row>
    <row r="21" spans="1:13" x14ac:dyDescent="0.2">
      <c r="A21" s="5"/>
      <c r="B21" s="5"/>
      <c r="C21" s="5"/>
      <c r="D21" s="5"/>
      <c r="E21" s="5"/>
      <c r="F21" s="5"/>
      <c r="G21" s="5"/>
      <c r="H21" s="5"/>
      <c r="I21" s="5"/>
      <c r="J21" s="5"/>
      <c r="K21" s="5"/>
      <c r="L21" s="5"/>
      <c r="M21" s="5"/>
    </row>
    <row r="22" spans="1:13" x14ac:dyDescent="0.2">
      <c r="A22" s="5"/>
      <c r="B22" s="49" t="s">
        <v>55</v>
      </c>
      <c r="C22" s="5"/>
      <c r="D22" s="5"/>
      <c r="E22" s="5"/>
      <c r="F22" s="5"/>
      <c r="G22" s="5"/>
      <c r="H22" s="5"/>
      <c r="I22" s="5"/>
      <c r="J22" s="5"/>
      <c r="K22" s="5"/>
      <c r="L22" s="5"/>
      <c r="M22" s="5"/>
    </row>
    <row r="23" spans="1:13" x14ac:dyDescent="0.2">
      <c r="A23" s="5"/>
      <c r="B23" s="5"/>
      <c r="C23" s="5"/>
      <c r="D23" s="5"/>
      <c r="E23" s="5"/>
      <c r="F23" s="5"/>
      <c r="G23" s="5"/>
      <c r="H23" s="5"/>
      <c r="I23" s="5"/>
      <c r="J23" s="5"/>
      <c r="K23" s="5"/>
      <c r="L23" s="5"/>
      <c r="M23" s="5"/>
    </row>
    <row r="24" spans="1:13" ht="18" x14ac:dyDescent="0.25">
      <c r="A24" s="3"/>
      <c r="B24" s="4" t="s">
        <v>21</v>
      </c>
      <c r="C24" s="3"/>
      <c r="D24" s="3"/>
      <c r="E24" s="3"/>
      <c r="F24" s="3"/>
      <c r="G24" s="3"/>
      <c r="H24" s="3"/>
      <c r="I24" s="3"/>
      <c r="J24" s="3"/>
      <c r="K24" s="3"/>
      <c r="L24" s="3"/>
      <c r="M24" s="3"/>
    </row>
    <row r="25" spans="1:13" x14ac:dyDescent="0.2">
      <c r="A25" s="5"/>
      <c r="B25" s="21" t="s">
        <v>24</v>
      </c>
      <c r="C25" s="6"/>
      <c r="D25" s="5"/>
      <c r="E25" s="5"/>
      <c r="F25" s="5"/>
      <c r="G25" s="5"/>
      <c r="H25" s="5"/>
      <c r="I25" s="5"/>
      <c r="J25" s="5"/>
      <c r="K25" s="5"/>
      <c r="L25" s="5"/>
      <c r="M25" s="5"/>
    </row>
    <row r="26" spans="1:13" ht="15" customHeight="1" x14ac:dyDescent="0.2">
      <c r="A26" s="5"/>
      <c r="B26" s="5"/>
      <c r="C26" s="5"/>
      <c r="D26" s="5"/>
      <c r="E26" s="5"/>
      <c r="F26" s="5"/>
      <c r="G26" s="5"/>
      <c r="H26" s="5"/>
      <c r="I26" s="5"/>
      <c r="J26" s="5"/>
      <c r="K26" s="5"/>
      <c r="L26" s="5"/>
      <c r="M26" s="5"/>
    </row>
    <row r="27" spans="1:13" x14ac:dyDescent="0.2">
      <c r="A27" s="5"/>
      <c r="B27" s="5"/>
      <c r="C27" s="5"/>
      <c r="D27" s="5"/>
      <c r="E27" s="5"/>
      <c r="F27" s="5"/>
      <c r="G27" s="5"/>
      <c r="H27" s="5"/>
      <c r="I27" s="5"/>
      <c r="J27" s="5"/>
      <c r="K27" s="5"/>
      <c r="L27" s="5"/>
      <c r="M27" s="5"/>
    </row>
    <row r="28" spans="1:13" ht="18.75" customHeight="1" x14ac:dyDescent="0.2">
      <c r="A28" s="5"/>
      <c r="B28" s="5"/>
      <c r="C28" s="6" t="s">
        <v>20</v>
      </c>
      <c r="D28" s="50" t="s">
        <v>11</v>
      </c>
      <c r="E28" s="50" t="s">
        <v>13</v>
      </c>
      <c r="F28" s="6" t="s">
        <v>39</v>
      </c>
      <c r="G28" s="5"/>
      <c r="H28" s="5"/>
      <c r="I28" s="5"/>
      <c r="J28" s="5"/>
      <c r="K28" s="5"/>
      <c r="L28" s="5"/>
      <c r="M28" s="5"/>
    </row>
    <row r="29" spans="1:13" ht="13.5" customHeight="1" x14ac:dyDescent="0.2">
      <c r="A29" s="5"/>
      <c r="B29" s="67" t="s">
        <v>26</v>
      </c>
      <c r="C29" s="12"/>
      <c r="D29" s="52" t="s">
        <v>53</v>
      </c>
      <c r="E29" s="52" t="s">
        <v>53</v>
      </c>
      <c r="F29" s="53" t="s">
        <v>78</v>
      </c>
      <c r="G29" s="5"/>
      <c r="H29" s="5"/>
      <c r="I29" s="5"/>
      <c r="J29" s="5"/>
      <c r="K29" s="5"/>
      <c r="L29" s="5"/>
      <c r="M29" s="5"/>
    </row>
    <row r="30" spans="1:13" x14ac:dyDescent="0.2">
      <c r="A30" s="5"/>
      <c r="B30" s="27">
        <v>2023</v>
      </c>
      <c r="C30" s="5"/>
      <c r="D30" s="61">
        <f>Metadata!I6*Emissionsfaktorer!D10</f>
        <v>26354.059399999998</v>
      </c>
      <c r="E30" s="61">
        <f>Metadata!J6*Emissionsfaktorer!D11</f>
        <v>3814.3001641504134</v>
      </c>
      <c r="F30" s="62">
        <f>SUM(D30:E30)</f>
        <v>30168.359564150411</v>
      </c>
      <c r="G30" s="5"/>
      <c r="H30" s="5"/>
      <c r="I30" s="5"/>
      <c r="J30" s="5"/>
      <c r="K30" s="5"/>
      <c r="L30" s="5"/>
      <c r="M30" s="5"/>
    </row>
    <row r="31" spans="1:13" x14ac:dyDescent="0.2">
      <c r="A31" s="5"/>
      <c r="B31" s="27">
        <v>2020</v>
      </c>
      <c r="C31" s="5"/>
      <c r="D31" s="61">
        <f>Metadata!I7*Emissionsfaktorer!C21</f>
        <v>19431.715601307296</v>
      </c>
      <c r="E31" s="61">
        <f>Metadata!J7*Emissionsfaktorer!C22</f>
        <v>21176.752463943885</v>
      </c>
      <c r="F31" s="62">
        <f>SUM(D31:E31)</f>
        <v>40608.468065251182</v>
      </c>
      <c r="G31" s="5"/>
      <c r="H31" s="5"/>
      <c r="I31" s="5"/>
      <c r="J31" s="5"/>
      <c r="K31" s="5"/>
      <c r="L31" s="5"/>
      <c r="M31" s="5"/>
    </row>
    <row r="32" spans="1:13" x14ac:dyDescent="0.2">
      <c r="A32" s="5"/>
      <c r="B32" s="27">
        <v>2017</v>
      </c>
      <c r="C32" s="5"/>
      <c r="D32" s="61">
        <f>Metadata!I8*Emissionsfaktorer!D21</f>
        <v>32838.430916835357</v>
      </c>
      <c r="E32" s="61">
        <f>Metadata!J8*Emissionsfaktorer!D22</f>
        <v>39538.694858246774</v>
      </c>
      <c r="F32" s="62">
        <f>SUM(D32:E32)</f>
        <v>72377.125775082124</v>
      </c>
      <c r="G32" s="5"/>
      <c r="H32" s="5"/>
      <c r="I32" s="5"/>
      <c r="J32" s="5"/>
      <c r="K32" s="5"/>
      <c r="L32" s="5"/>
      <c r="M32" s="5"/>
    </row>
    <row r="33" spans="1:13" x14ac:dyDescent="0.2">
      <c r="A33" s="5"/>
      <c r="B33" s="27">
        <v>2014</v>
      </c>
      <c r="C33" s="5"/>
      <c r="D33" s="61">
        <f>Metadata!I9*Emissionsfaktorer!E21</f>
        <v>34980.098546653993</v>
      </c>
      <c r="E33" s="61">
        <f>Metadata!J9*Emissionsfaktorer!E22</f>
        <v>48098.394583658192</v>
      </c>
      <c r="F33" s="62">
        <f>SUM(D33:E33)</f>
        <v>83078.493130312185</v>
      </c>
      <c r="G33" s="5"/>
      <c r="H33" s="5"/>
      <c r="I33" s="5"/>
      <c r="J33" s="5"/>
      <c r="K33" s="5"/>
      <c r="L33" s="5"/>
      <c r="M33" s="5"/>
    </row>
    <row r="34" spans="1:13" x14ac:dyDescent="0.2">
      <c r="A34" s="5"/>
      <c r="B34" s="27">
        <v>2011</v>
      </c>
      <c r="C34" s="5"/>
      <c r="D34" s="5">
        <f>Metadata!I10*Emissionsfaktorer!F21</f>
        <v>56444.32</v>
      </c>
      <c r="E34" s="5">
        <f>Metadata!J10*Emissionsfaktorer!F22</f>
        <v>94483.200000000012</v>
      </c>
      <c r="F34" s="62">
        <f t="shared" ref="F34:F36" si="2">SUM(D34:E34)</f>
        <v>150927.52000000002</v>
      </c>
      <c r="G34" s="5"/>
      <c r="H34" s="5"/>
      <c r="I34" s="5"/>
      <c r="J34" s="5"/>
      <c r="K34" s="5"/>
      <c r="L34" s="5"/>
      <c r="M34" s="5"/>
    </row>
    <row r="35" spans="1:13" x14ac:dyDescent="0.2">
      <c r="A35" s="5"/>
      <c r="B35" s="27">
        <v>2008</v>
      </c>
      <c r="C35" s="5"/>
      <c r="D35" s="5">
        <f>Metadata!I11*Emissionsfaktorer!G21</f>
        <v>69613.2</v>
      </c>
      <c r="E35" s="5">
        <f>Metadata!J11*Emissionsfaktorer!G22</f>
        <v>112982.09999999999</v>
      </c>
      <c r="F35" s="62">
        <f t="shared" si="2"/>
        <v>182595.3</v>
      </c>
      <c r="G35" s="5"/>
      <c r="H35" s="5"/>
      <c r="I35" s="5"/>
      <c r="J35" s="5"/>
      <c r="K35" s="5"/>
      <c r="L35" s="5"/>
      <c r="M35" s="5"/>
    </row>
    <row r="36" spans="1:13" x14ac:dyDescent="0.2">
      <c r="A36" s="5"/>
      <c r="B36" s="63">
        <v>2005</v>
      </c>
      <c r="C36" s="16"/>
      <c r="D36" s="16">
        <f>Metadata!I12*Emissionsfaktorer!H21</f>
        <v>95782.5</v>
      </c>
      <c r="E36" s="16">
        <f>Metadata!J12*Emissionsfaktorer!H22</f>
        <v>134819.1</v>
      </c>
      <c r="F36" s="64">
        <f t="shared" si="2"/>
        <v>230601.60000000001</v>
      </c>
      <c r="G36" s="5"/>
      <c r="H36" s="5"/>
      <c r="I36" s="5"/>
      <c r="J36" s="5"/>
      <c r="K36" s="5"/>
      <c r="L36" s="5"/>
      <c r="M36" s="5"/>
    </row>
    <row r="37" spans="1:13" x14ac:dyDescent="0.2">
      <c r="A37" s="5"/>
      <c r="B37" s="5"/>
      <c r="C37" s="5"/>
      <c r="D37" s="5"/>
      <c r="E37" s="5"/>
      <c r="F37" s="5"/>
      <c r="G37" s="5"/>
      <c r="H37" s="5"/>
      <c r="I37" s="5"/>
      <c r="J37" s="5"/>
      <c r="K37" s="5"/>
      <c r="L37" s="5"/>
      <c r="M37" s="5"/>
    </row>
    <row r="38" spans="1:13" x14ac:dyDescent="0.2">
      <c r="A38" s="5"/>
      <c r="B38" s="6"/>
      <c r="C38" s="5"/>
      <c r="D38" s="5"/>
      <c r="E38" s="5"/>
      <c r="F38" s="5"/>
      <c r="G38" s="5"/>
      <c r="H38" s="5"/>
      <c r="I38" s="5"/>
      <c r="J38" s="5"/>
      <c r="K38" s="5"/>
      <c r="L38" s="5"/>
      <c r="M38" s="5"/>
    </row>
    <row r="39" spans="1:13" x14ac:dyDescent="0.2">
      <c r="A39" s="5"/>
      <c r="B39" s="49" t="s">
        <v>55</v>
      </c>
      <c r="C39" s="5"/>
      <c r="D39" s="5"/>
      <c r="E39" s="5"/>
      <c r="F39" s="5"/>
      <c r="G39" s="5"/>
      <c r="H39" s="5"/>
      <c r="I39" s="5"/>
      <c r="J39" s="5"/>
      <c r="K39" s="5"/>
      <c r="L39" s="5"/>
      <c r="M39" s="5"/>
    </row>
    <row r="40" spans="1:13" x14ac:dyDescent="0.2">
      <c r="A40" s="5"/>
      <c r="C40" s="5"/>
      <c r="D40" s="5"/>
      <c r="E40" s="5"/>
      <c r="F40" s="5"/>
      <c r="G40" s="5"/>
      <c r="H40" s="5"/>
      <c r="I40" s="5"/>
      <c r="J40" s="5"/>
      <c r="K40" s="5"/>
      <c r="L40" s="5"/>
      <c r="M40" s="5"/>
    </row>
    <row r="41" spans="1:13" ht="15.75" customHeight="1" x14ac:dyDescent="0.2">
      <c r="A41" s="34"/>
      <c r="B41" s="34"/>
      <c r="C41" s="34"/>
      <c r="D41" s="34"/>
      <c r="E41" s="34"/>
      <c r="F41" s="34"/>
      <c r="G41" s="34"/>
      <c r="H41" s="34"/>
      <c r="I41" s="34"/>
      <c r="J41" s="34"/>
      <c r="K41" s="34"/>
      <c r="L41" s="34"/>
      <c r="M41" s="34"/>
    </row>
    <row r="42" spans="1:13" x14ac:dyDescent="0.2">
      <c r="A42" s="5"/>
      <c r="B42" s="5"/>
      <c r="C42" s="5"/>
      <c r="D42" s="5"/>
      <c r="E42" s="5"/>
      <c r="F42" s="5"/>
      <c r="G42" s="5"/>
      <c r="H42" s="5"/>
      <c r="I42" s="5"/>
      <c r="J42" s="5"/>
      <c r="K42" s="5"/>
      <c r="L42" s="5"/>
      <c r="M42" s="5"/>
    </row>
    <row r="43" spans="1:13" x14ac:dyDescent="0.2">
      <c r="A43" s="5"/>
      <c r="B43" s="5"/>
      <c r="C43" s="5"/>
      <c r="D43" s="5"/>
      <c r="E43" s="5"/>
      <c r="F43" s="5"/>
      <c r="G43" s="5"/>
      <c r="H43" s="5"/>
      <c r="I43" s="5"/>
      <c r="J43" s="5"/>
      <c r="K43" s="5"/>
      <c r="L43" s="5"/>
      <c r="M43" s="5"/>
    </row>
    <row r="44" spans="1:13" x14ac:dyDescent="0.2">
      <c r="A44" s="5"/>
      <c r="B44" s="5"/>
      <c r="C44" s="5"/>
      <c r="D44" s="5"/>
      <c r="E44" s="5"/>
      <c r="F44" s="5"/>
      <c r="G44" s="5"/>
      <c r="H44" s="5"/>
      <c r="I44" s="5"/>
      <c r="J44" s="5"/>
      <c r="K44" s="5"/>
      <c r="L44" s="5"/>
      <c r="M44" s="5"/>
    </row>
    <row r="45" spans="1:13" ht="17.25" customHeight="1" x14ac:dyDescent="0.2">
      <c r="A45" s="5"/>
      <c r="B45" s="67" t="s">
        <v>26</v>
      </c>
      <c r="C45" s="70" t="s">
        <v>19</v>
      </c>
      <c r="D45" s="70" t="s">
        <v>21</v>
      </c>
      <c r="E45" s="70" t="s">
        <v>70</v>
      </c>
      <c r="F45" s="71" t="s">
        <v>77</v>
      </c>
      <c r="G45" s="5"/>
      <c r="H45" s="5"/>
      <c r="I45" s="5"/>
      <c r="J45" s="5"/>
      <c r="K45" s="5"/>
      <c r="L45" s="5"/>
      <c r="M45" s="5"/>
    </row>
    <row r="46" spans="1:13" x14ac:dyDescent="0.2">
      <c r="A46" s="5"/>
      <c r="B46" s="37">
        <v>2023</v>
      </c>
      <c r="C46" s="5">
        <f>J12</f>
        <v>39078.310000000005</v>
      </c>
      <c r="D46" s="61">
        <f>F30</f>
        <v>30168.359564150411</v>
      </c>
      <c r="E46" s="5">
        <f>H12</f>
        <v>10048.5</v>
      </c>
      <c r="F46" s="68">
        <f>SUM(C46:E46)</f>
        <v>79295.169564150419</v>
      </c>
      <c r="G46" s="5"/>
      <c r="H46" s="5"/>
      <c r="I46" s="5"/>
      <c r="J46" s="5"/>
      <c r="K46" s="5"/>
      <c r="L46" s="5"/>
      <c r="M46" s="5"/>
    </row>
    <row r="47" spans="1:13" x14ac:dyDescent="0.2">
      <c r="A47" s="5"/>
      <c r="B47" s="37">
        <v>2020</v>
      </c>
      <c r="C47" s="5">
        <f>J13</f>
        <v>95838.34</v>
      </c>
      <c r="D47" s="61">
        <f>F31</f>
        <v>40608.468065251182</v>
      </c>
      <c r="E47" s="5">
        <f>H13</f>
        <v>4060</v>
      </c>
      <c r="F47" s="68">
        <f>SUM(C47:E47)</f>
        <v>140506.80806525119</v>
      </c>
      <c r="G47" s="5"/>
      <c r="H47" s="5"/>
      <c r="I47" s="5"/>
      <c r="J47" s="5"/>
      <c r="K47" s="5"/>
      <c r="L47" s="5"/>
      <c r="M47" s="5"/>
    </row>
    <row r="48" spans="1:13" x14ac:dyDescent="0.2">
      <c r="A48" s="5"/>
      <c r="B48" s="37">
        <v>2017</v>
      </c>
      <c r="C48" s="5">
        <f>J14</f>
        <v>110646.9</v>
      </c>
      <c r="D48" s="61">
        <f>F32</f>
        <v>72377.125775082124</v>
      </c>
      <c r="E48" s="5">
        <f>H14</f>
        <v>7815.5</v>
      </c>
      <c r="F48" s="68">
        <f>SUM(C48:E48)</f>
        <v>190839.52577508212</v>
      </c>
      <c r="G48" s="5"/>
      <c r="H48" s="5"/>
      <c r="I48" s="5"/>
      <c r="J48" s="5"/>
      <c r="K48" s="5"/>
      <c r="L48" s="5"/>
      <c r="M48" s="5"/>
    </row>
    <row r="49" spans="1:13" x14ac:dyDescent="0.2">
      <c r="A49" s="5"/>
      <c r="B49" s="37">
        <v>2014</v>
      </c>
      <c r="C49" s="5">
        <f t="shared" ref="C49:C52" si="3">J15</f>
        <v>120254.06999999999</v>
      </c>
      <c r="D49" s="61">
        <f t="shared" ref="D49:D52" si="4">F33</f>
        <v>83078.493130312185</v>
      </c>
      <c r="E49" s="5">
        <f t="shared" ref="E49:E52" si="5">H15</f>
        <v>3248</v>
      </c>
      <c r="F49" s="68">
        <f t="shared" ref="F49:F52" si="6">SUM(C49:E49)</f>
        <v>206580.56313031219</v>
      </c>
      <c r="G49" s="5"/>
      <c r="H49" s="5"/>
      <c r="I49" s="5"/>
      <c r="J49" s="5"/>
      <c r="K49" s="5"/>
      <c r="L49" s="5"/>
      <c r="M49" s="5"/>
    </row>
    <row r="50" spans="1:13" x14ac:dyDescent="0.2">
      <c r="A50" s="5"/>
      <c r="B50" s="37">
        <v>2011</v>
      </c>
      <c r="C50" s="5">
        <f t="shared" si="3"/>
        <v>185099.03</v>
      </c>
      <c r="D50" s="61">
        <f t="shared" si="4"/>
        <v>150927.52000000002</v>
      </c>
      <c r="E50" s="5">
        <f t="shared" si="5"/>
        <v>1928.5</v>
      </c>
      <c r="F50" s="68">
        <f t="shared" si="6"/>
        <v>337955.05000000005</v>
      </c>
      <c r="G50" s="5"/>
      <c r="H50" s="5"/>
      <c r="I50" s="5"/>
      <c r="J50" s="5"/>
      <c r="K50" s="5"/>
      <c r="L50" s="5"/>
      <c r="M50" s="5"/>
    </row>
    <row r="51" spans="1:13" x14ac:dyDescent="0.2">
      <c r="A51" s="5"/>
      <c r="B51" s="37">
        <v>2008</v>
      </c>
      <c r="C51" s="5">
        <f t="shared" si="3"/>
        <v>255264.86</v>
      </c>
      <c r="D51" s="61">
        <f t="shared" si="4"/>
        <v>182595.3</v>
      </c>
      <c r="E51" s="5">
        <f t="shared" si="5"/>
        <v>2740.5</v>
      </c>
      <c r="F51" s="68">
        <f t="shared" si="6"/>
        <v>440600.66</v>
      </c>
      <c r="G51" s="5"/>
      <c r="H51" s="5"/>
      <c r="I51" s="5"/>
      <c r="J51" s="5"/>
      <c r="K51" s="5"/>
      <c r="L51" s="5"/>
      <c r="M51" s="5"/>
    </row>
    <row r="52" spans="1:13" x14ac:dyDescent="0.2">
      <c r="A52" s="5"/>
      <c r="B52" s="65">
        <v>2005</v>
      </c>
      <c r="C52" s="16">
        <f t="shared" si="3"/>
        <v>301980.01</v>
      </c>
      <c r="D52" s="66">
        <f t="shared" si="4"/>
        <v>230601.60000000001</v>
      </c>
      <c r="E52" s="16">
        <f t="shared" si="5"/>
        <v>2030</v>
      </c>
      <c r="F52" s="69">
        <f t="shared" si="6"/>
        <v>534611.61</v>
      </c>
      <c r="G52" s="5"/>
      <c r="H52" s="5"/>
      <c r="I52" s="5"/>
      <c r="J52" s="5"/>
      <c r="K52" s="5"/>
      <c r="L52" s="5"/>
      <c r="M52" s="5"/>
    </row>
    <row r="53" spans="1:13" x14ac:dyDescent="0.2">
      <c r="A53" s="5"/>
      <c r="B53" s="5"/>
      <c r="C53" s="5"/>
      <c r="D53" s="5"/>
      <c r="E53" s="5"/>
      <c r="F53" s="5"/>
      <c r="G53" s="5"/>
      <c r="H53" s="5"/>
      <c r="I53" s="5"/>
      <c r="J53" s="5"/>
      <c r="K53" s="5"/>
      <c r="L53" s="5"/>
      <c r="M53" s="5"/>
    </row>
    <row r="54" spans="1:13" x14ac:dyDescent="0.2">
      <c r="A54" s="5"/>
      <c r="B54" s="5"/>
      <c r="C54" s="5"/>
      <c r="D54" s="5"/>
      <c r="E54" s="5"/>
      <c r="F54" s="5"/>
      <c r="G54" s="5"/>
      <c r="H54" s="5"/>
      <c r="I54" s="5"/>
      <c r="J54" s="5"/>
      <c r="K54" s="5"/>
      <c r="L54" s="5"/>
      <c r="M54" s="5"/>
    </row>
    <row r="55" spans="1:13" x14ac:dyDescent="0.2">
      <c r="A55" s="5"/>
      <c r="B55" s="5"/>
      <c r="C55" s="5"/>
      <c r="D55" s="5"/>
      <c r="E55" s="5"/>
      <c r="F55" s="5"/>
      <c r="G55" s="5"/>
      <c r="H55" s="5"/>
      <c r="I55" s="5"/>
      <c r="J55" s="5"/>
      <c r="K55" s="5"/>
      <c r="L55" s="5"/>
      <c r="M55"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62A4-629D-4EF1-9BE8-64FFE1D3E1EF}">
  <sheetPr codeName="Ark4"/>
  <dimension ref="A3:J22"/>
  <sheetViews>
    <sheetView workbookViewId="0">
      <selection activeCell="F27" sqref="F27"/>
    </sheetView>
  </sheetViews>
  <sheetFormatPr defaultRowHeight="12" x14ac:dyDescent="0.2"/>
  <cols>
    <col min="1" max="1" width="11" customWidth="1"/>
    <col min="2" max="2" width="16.7109375" customWidth="1"/>
    <col min="3" max="3" width="21.140625" customWidth="1"/>
    <col min="4" max="4" width="20.28515625" customWidth="1"/>
    <col min="5" max="5" width="19.85546875" customWidth="1"/>
    <col min="6" max="6" width="42.85546875" customWidth="1"/>
    <col min="7" max="7" width="21.140625" customWidth="1"/>
    <col min="8" max="8" width="20.28515625" customWidth="1"/>
    <col min="9" max="9" width="50" customWidth="1"/>
  </cols>
  <sheetData>
    <row r="3" spans="1:10" x14ac:dyDescent="0.2">
      <c r="A3">
        <v>2023</v>
      </c>
    </row>
    <row r="4" spans="1:10" ht="15" customHeight="1" x14ac:dyDescent="0.2">
      <c r="A4" s="8" t="s">
        <v>20</v>
      </c>
      <c r="B4" t="s">
        <v>35</v>
      </c>
      <c r="C4" t="s">
        <v>28</v>
      </c>
      <c r="D4" t="s">
        <v>29</v>
      </c>
      <c r="E4" t="s">
        <v>28</v>
      </c>
      <c r="F4" t="s">
        <v>30</v>
      </c>
      <c r="G4" t="s">
        <v>34</v>
      </c>
    </row>
    <row r="5" spans="1:10" ht="26.25" customHeight="1" x14ac:dyDescent="0.2">
      <c r="A5" s="7" t="s">
        <v>6</v>
      </c>
      <c r="B5">
        <v>40.47</v>
      </c>
      <c r="C5" t="s">
        <v>31</v>
      </c>
      <c r="D5">
        <v>78.95</v>
      </c>
      <c r="E5" t="s">
        <v>53</v>
      </c>
      <c r="F5" s="10" t="s">
        <v>32</v>
      </c>
    </row>
    <row r="6" spans="1:10" ht="27.75" customHeight="1" x14ac:dyDescent="0.2">
      <c r="A6" s="7" t="s">
        <v>56</v>
      </c>
      <c r="B6">
        <v>35.869999999999997</v>
      </c>
      <c r="C6" t="s">
        <v>33</v>
      </c>
      <c r="D6">
        <v>73</v>
      </c>
      <c r="E6" t="s">
        <v>53</v>
      </c>
      <c r="F6" s="10" t="s">
        <v>32</v>
      </c>
    </row>
    <row r="7" spans="1:10" ht="26.25" customHeight="1" x14ac:dyDescent="0.2">
      <c r="A7" s="7" t="s">
        <v>8</v>
      </c>
      <c r="B7">
        <v>3.9600000000000003E-2</v>
      </c>
      <c r="C7" t="s">
        <v>33</v>
      </c>
      <c r="D7">
        <v>57.1</v>
      </c>
      <c r="E7" t="s">
        <v>53</v>
      </c>
      <c r="F7" s="10" t="s">
        <v>32</v>
      </c>
    </row>
    <row r="8" spans="1:10" ht="26.25" customHeight="1" x14ac:dyDescent="0.2">
      <c r="A8" s="7" t="s">
        <v>9</v>
      </c>
      <c r="B8">
        <f>(23.52+29.3)/2</f>
        <v>26.41</v>
      </c>
      <c r="C8" t="s">
        <v>31</v>
      </c>
      <c r="D8">
        <f>(95.11+107)/2</f>
        <v>101.05500000000001</v>
      </c>
      <c r="E8" t="s">
        <v>53</v>
      </c>
      <c r="F8" s="10" t="s">
        <v>32</v>
      </c>
      <c r="G8" t="s">
        <v>36</v>
      </c>
    </row>
    <row r="9" spans="1:10" ht="26.25" customHeight="1" x14ac:dyDescent="0.2">
      <c r="A9" s="7" t="s">
        <v>10</v>
      </c>
      <c r="B9">
        <f>(17.5+10.4)/2</f>
        <v>13.95</v>
      </c>
      <c r="C9" t="s">
        <v>31</v>
      </c>
      <c r="D9">
        <f>(97.4+105.6)/2</f>
        <v>101.5</v>
      </c>
      <c r="E9" t="s">
        <v>53</v>
      </c>
      <c r="F9" s="10" t="s">
        <v>32</v>
      </c>
      <c r="G9" t="s">
        <v>37</v>
      </c>
    </row>
    <row r="10" spans="1:10" ht="18.95" customHeight="1" x14ac:dyDescent="0.2">
      <c r="A10" s="7" t="s">
        <v>11</v>
      </c>
      <c r="D10">
        <f>(13.2967/1000)*1000</f>
        <v>13.2967</v>
      </c>
      <c r="E10" t="s">
        <v>53</v>
      </c>
      <c r="F10" s="10" t="s">
        <v>42</v>
      </c>
      <c r="G10" t="s">
        <v>43</v>
      </c>
    </row>
    <row r="11" spans="1:10" ht="18.95" customHeight="1" x14ac:dyDescent="0.2">
      <c r="A11" s="7" t="s">
        <v>13</v>
      </c>
      <c r="D11" s="22">
        <f>(9.70559838206212/1000)*1000</f>
        <v>9.7055983820621208</v>
      </c>
      <c r="E11" t="s">
        <v>53</v>
      </c>
      <c r="F11" s="10" t="s">
        <v>42</v>
      </c>
      <c r="G11" t="s">
        <v>43</v>
      </c>
    </row>
    <row r="15" spans="1:10" x14ac:dyDescent="0.2">
      <c r="A15" s="8" t="s">
        <v>20</v>
      </c>
      <c r="B15" t="s">
        <v>28</v>
      </c>
      <c r="C15" t="s">
        <v>58</v>
      </c>
      <c r="D15" t="s">
        <v>59</v>
      </c>
      <c r="E15" t="s">
        <v>60</v>
      </c>
      <c r="F15" t="s">
        <v>61</v>
      </c>
      <c r="G15" t="s">
        <v>62</v>
      </c>
      <c r="H15" t="s">
        <v>63</v>
      </c>
      <c r="I15" t="s">
        <v>30</v>
      </c>
      <c r="J15" t="s">
        <v>34</v>
      </c>
    </row>
    <row r="16" spans="1:10" ht="12.75" x14ac:dyDescent="0.2">
      <c r="A16" s="7" t="s">
        <v>6</v>
      </c>
      <c r="B16" t="s">
        <v>53</v>
      </c>
      <c r="C16">
        <v>79.42</v>
      </c>
      <c r="D16">
        <v>78.599999999999994</v>
      </c>
      <c r="E16">
        <v>77.400000000000006</v>
      </c>
      <c r="F16">
        <v>77.400000000000006</v>
      </c>
      <c r="G16">
        <v>78</v>
      </c>
      <c r="H16">
        <v>78.39</v>
      </c>
      <c r="I16" t="s">
        <v>57</v>
      </c>
      <c r="J16" t="s">
        <v>64</v>
      </c>
    </row>
    <row r="17" spans="1:10" ht="12.75" x14ac:dyDescent="0.2">
      <c r="A17" s="7" t="s">
        <v>56</v>
      </c>
      <c r="B17" t="s">
        <v>53</v>
      </c>
      <c r="C17">
        <v>74.099999999999994</v>
      </c>
      <c r="D17">
        <v>74.099999999999994</v>
      </c>
      <c r="E17">
        <v>74</v>
      </c>
      <c r="F17">
        <v>74</v>
      </c>
      <c r="G17">
        <v>74</v>
      </c>
      <c r="H17">
        <v>74.37</v>
      </c>
      <c r="I17" t="s">
        <v>57</v>
      </c>
    </row>
    <row r="18" spans="1:10" ht="12.75" x14ac:dyDescent="0.2">
      <c r="A18" s="7" t="s">
        <v>8</v>
      </c>
      <c r="B18" t="s">
        <v>53</v>
      </c>
      <c r="C18">
        <v>55.52</v>
      </c>
      <c r="D18">
        <v>57</v>
      </c>
      <c r="E18">
        <v>56.79</v>
      </c>
      <c r="F18">
        <v>56.97</v>
      </c>
      <c r="G18">
        <v>56.77</v>
      </c>
      <c r="H18">
        <v>57.25</v>
      </c>
      <c r="I18" t="s">
        <v>57</v>
      </c>
    </row>
    <row r="19" spans="1:10" ht="12.75" x14ac:dyDescent="0.2">
      <c r="A19" s="7" t="s">
        <v>9</v>
      </c>
      <c r="B19" t="s">
        <v>53</v>
      </c>
      <c r="C19">
        <f>(94.13+107)/2</f>
        <v>100.565</v>
      </c>
      <c r="D19">
        <f>(94.6+107)/2</f>
        <v>100.8</v>
      </c>
      <c r="E19">
        <f>(94.6+107)/2</f>
        <v>100.8</v>
      </c>
      <c r="F19">
        <f>(94.6+108)/2</f>
        <v>101.3</v>
      </c>
      <c r="G19">
        <f>(95+108)/2</f>
        <v>101.5</v>
      </c>
      <c r="H19">
        <f>(95.96+109.9)/2</f>
        <v>102.93</v>
      </c>
      <c r="I19" t="s">
        <v>57</v>
      </c>
      <c r="J19" t="s">
        <v>65</v>
      </c>
    </row>
    <row r="20" spans="1:10" ht="12.75" x14ac:dyDescent="0.2">
      <c r="A20" s="7" t="s">
        <v>10</v>
      </c>
      <c r="B20" t="s">
        <v>53</v>
      </c>
      <c r="C20">
        <f>D9</f>
        <v>101.5</v>
      </c>
      <c r="D20">
        <f>D9</f>
        <v>101.5</v>
      </c>
      <c r="E20">
        <f>D9</f>
        <v>101.5</v>
      </c>
      <c r="F20">
        <f>D9</f>
        <v>101.5</v>
      </c>
      <c r="G20">
        <f>D9</f>
        <v>101.5</v>
      </c>
      <c r="H20">
        <f>D9</f>
        <v>101.5</v>
      </c>
      <c r="I20" t="s">
        <v>57</v>
      </c>
      <c r="J20" t="s">
        <v>66</v>
      </c>
    </row>
    <row r="21" spans="1:10" ht="12.75" x14ac:dyDescent="0.2">
      <c r="A21" s="7" t="s">
        <v>11</v>
      </c>
      <c r="B21" t="s">
        <v>53</v>
      </c>
      <c r="C21">
        <v>13.5886123086065</v>
      </c>
      <c r="D21">
        <v>20.333393756554401</v>
      </c>
      <c r="E21">
        <v>24.599225419587899</v>
      </c>
      <c r="F21">
        <v>30.56</v>
      </c>
      <c r="G21">
        <v>31.7</v>
      </c>
      <c r="H21">
        <v>40.5</v>
      </c>
      <c r="I21" s="10" t="s">
        <v>42</v>
      </c>
    </row>
    <row r="22" spans="1:10" ht="60" x14ac:dyDescent="0.2">
      <c r="A22" s="7" t="s">
        <v>13</v>
      </c>
      <c r="B22" t="s">
        <v>53</v>
      </c>
      <c r="C22">
        <v>29.535219614984499</v>
      </c>
      <c r="D22">
        <v>49.4852251041887</v>
      </c>
      <c r="E22">
        <v>59.527716068883898</v>
      </c>
      <c r="F22">
        <v>118.4</v>
      </c>
      <c r="G22">
        <v>140.69999999999999</v>
      </c>
      <c r="H22">
        <v>150.30000000000001</v>
      </c>
      <c r="I22" s="10" t="s">
        <v>67</v>
      </c>
    </row>
  </sheetData>
  <sheetProtection algorithmName="SHA-512" hashValue="DTE6euZ4xeulE/Zfsw0PpCIhOxKAGOO1Ihp0h35AjkTWDw3iMCiyTzkwFgVS9Dq7yrBN5g965tklhG7fVp0Jvw==" saltValue="PflvQh4J+W6l0PVreJ144w==" spinCount="100000" sheet="1" objects="1" scenarios="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AD80-2264-4C1A-A0FA-CFAE2102C1AE}">
  <sheetPr codeName="Ark5"/>
  <dimension ref="B4:M40"/>
  <sheetViews>
    <sheetView workbookViewId="0">
      <selection activeCell="H28" sqref="H28"/>
    </sheetView>
  </sheetViews>
  <sheetFormatPr defaultRowHeight="12" x14ac:dyDescent="0.2"/>
  <cols>
    <col min="1" max="1" width="5.7109375" customWidth="1"/>
    <col min="3" max="10" width="12.7109375" customWidth="1"/>
    <col min="11" max="11" width="15.85546875" customWidth="1"/>
  </cols>
  <sheetData>
    <row r="4" spans="2:13" ht="12.75" x14ac:dyDescent="0.2">
      <c r="C4" s="8" t="s">
        <v>20</v>
      </c>
      <c r="D4" s="7" t="s">
        <v>6</v>
      </c>
      <c r="E4" s="7" t="s">
        <v>56</v>
      </c>
      <c r="F4" s="7" t="s">
        <v>8</v>
      </c>
      <c r="G4" s="7" t="s">
        <v>9</v>
      </c>
      <c r="H4" s="7" t="s">
        <v>10</v>
      </c>
      <c r="I4" s="7" t="s">
        <v>11</v>
      </c>
      <c r="J4" s="7" t="s">
        <v>13</v>
      </c>
      <c r="K4" s="7" t="s">
        <v>14</v>
      </c>
      <c r="M4" s="7" t="s">
        <v>30</v>
      </c>
    </row>
    <row r="5" spans="2:13" x14ac:dyDescent="0.2">
      <c r="B5" s="8" t="s">
        <v>26</v>
      </c>
      <c r="C5" s="9" t="s">
        <v>27</v>
      </c>
    </row>
    <row r="6" spans="2:13" x14ac:dyDescent="0.2">
      <c r="B6">
        <v>2023</v>
      </c>
      <c r="D6">
        <f>'Ark2'!E9</f>
        <v>38</v>
      </c>
      <c r="E6">
        <f>'Ark2'!E10</f>
        <v>78</v>
      </c>
      <c r="F6">
        <f>'Ark2'!E11</f>
        <v>387</v>
      </c>
      <c r="G6">
        <f>'Ark2'!E12</f>
        <v>82</v>
      </c>
      <c r="H6">
        <f>'Ark2'!E13</f>
        <v>99</v>
      </c>
      <c r="I6">
        <f>'Ark2'!E14</f>
        <v>1982</v>
      </c>
      <c r="J6">
        <f>'Ark2'!E16</f>
        <v>393</v>
      </c>
      <c r="K6">
        <f>SUM(D6:J6)</f>
        <v>3059</v>
      </c>
      <c r="M6" t="s">
        <v>52</v>
      </c>
    </row>
    <row r="7" spans="2:13" x14ac:dyDescent="0.2">
      <c r="B7">
        <v>2020</v>
      </c>
      <c r="D7">
        <v>68</v>
      </c>
      <c r="E7">
        <v>164</v>
      </c>
      <c r="F7">
        <v>1084</v>
      </c>
      <c r="G7">
        <v>180</v>
      </c>
      <c r="H7">
        <v>40</v>
      </c>
      <c r="I7">
        <v>1430</v>
      </c>
      <c r="J7">
        <v>717</v>
      </c>
      <c r="K7">
        <f>SUM(D7:J7)</f>
        <v>3683</v>
      </c>
      <c r="M7" t="s">
        <v>51</v>
      </c>
    </row>
    <row r="8" spans="2:13" x14ac:dyDescent="0.2">
      <c r="B8">
        <v>2017</v>
      </c>
      <c r="D8">
        <v>43</v>
      </c>
      <c r="E8">
        <v>127</v>
      </c>
      <c r="F8">
        <v>1234</v>
      </c>
      <c r="G8">
        <v>273</v>
      </c>
      <c r="H8">
        <v>77</v>
      </c>
      <c r="I8">
        <v>1615</v>
      </c>
      <c r="J8">
        <v>799</v>
      </c>
      <c r="K8">
        <f t="shared" ref="K8:K11" si="0">SUM(D8:J8)</f>
        <v>4168</v>
      </c>
      <c r="M8" t="s">
        <v>50</v>
      </c>
    </row>
    <row r="9" spans="2:13" x14ac:dyDescent="0.2">
      <c r="B9">
        <v>2014</v>
      </c>
      <c r="D9">
        <v>123</v>
      </c>
      <c r="E9">
        <v>114</v>
      </c>
      <c r="F9">
        <v>1173</v>
      </c>
      <c r="G9">
        <v>354</v>
      </c>
      <c r="H9">
        <v>32</v>
      </c>
      <c r="I9">
        <v>1422</v>
      </c>
      <c r="J9">
        <v>808</v>
      </c>
      <c r="K9">
        <f t="shared" si="0"/>
        <v>4026</v>
      </c>
      <c r="M9" t="s">
        <v>46</v>
      </c>
    </row>
    <row r="10" spans="2:13" x14ac:dyDescent="0.2">
      <c r="B10">
        <v>2011</v>
      </c>
      <c r="D10">
        <v>325</v>
      </c>
      <c r="E10">
        <v>95</v>
      </c>
      <c r="F10">
        <v>1539</v>
      </c>
      <c r="G10">
        <v>644</v>
      </c>
      <c r="H10">
        <v>19</v>
      </c>
      <c r="I10">
        <v>1847</v>
      </c>
      <c r="J10">
        <v>798</v>
      </c>
      <c r="K10">
        <f t="shared" si="0"/>
        <v>5267</v>
      </c>
      <c r="M10" t="s">
        <v>49</v>
      </c>
    </row>
    <row r="11" spans="2:13" x14ac:dyDescent="0.2">
      <c r="B11">
        <v>2008</v>
      </c>
      <c r="D11">
        <v>619</v>
      </c>
      <c r="E11">
        <v>553</v>
      </c>
      <c r="F11">
        <v>1468</v>
      </c>
      <c r="G11">
        <v>815</v>
      </c>
      <c r="H11">
        <v>27</v>
      </c>
      <c r="I11">
        <v>2196</v>
      </c>
      <c r="J11">
        <v>803</v>
      </c>
      <c r="K11">
        <f t="shared" si="0"/>
        <v>6481</v>
      </c>
      <c r="M11" t="s">
        <v>48</v>
      </c>
    </row>
    <row r="12" spans="2:13" x14ac:dyDescent="0.2">
      <c r="B12">
        <v>2005</v>
      </c>
      <c r="D12">
        <f>'Ark2'!B22</f>
        <v>915</v>
      </c>
      <c r="E12">
        <f>'Ark2'!B23</f>
        <v>231</v>
      </c>
      <c r="F12">
        <f>'Ark2'!B24</f>
        <v>2359</v>
      </c>
      <c r="G12">
        <f>'Ark2'!B25</f>
        <v>758</v>
      </c>
      <c r="H12">
        <f>'Ark2'!B26</f>
        <v>20</v>
      </c>
      <c r="I12">
        <f>'Ark2'!B27</f>
        <v>2365</v>
      </c>
      <c r="J12">
        <f>'Ark2'!B28</f>
        <v>897</v>
      </c>
      <c r="K12">
        <f>SUM(D12:J12)</f>
        <v>7545</v>
      </c>
      <c r="M12" t="s">
        <v>47</v>
      </c>
    </row>
    <row r="19" spans="2:6" x14ac:dyDescent="0.2">
      <c r="B19" s="104" t="s">
        <v>97</v>
      </c>
      <c r="C19" s="105"/>
      <c r="D19" s="105"/>
      <c r="E19" s="105"/>
      <c r="F19" s="106"/>
    </row>
    <row r="20" spans="2:6" x14ac:dyDescent="0.2">
      <c r="B20" s="107"/>
      <c r="C20" s="108"/>
      <c r="D20" s="108"/>
      <c r="E20" s="108"/>
      <c r="F20" s="109"/>
    </row>
    <row r="21" spans="2:6" ht="12.75" x14ac:dyDescent="0.2">
      <c r="B21" s="88"/>
      <c r="C21" s="7"/>
      <c r="D21" s="7"/>
      <c r="E21" s="7"/>
      <c r="F21" s="89"/>
    </row>
    <row r="22" spans="2:6" ht="12.75" x14ac:dyDescent="0.2">
      <c r="B22" s="88"/>
      <c r="C22" s="7" t="s">
        <v>1</v>
      </c>
      <c r="D22" s="7" t="s">
        <v>2</v>
      </c>
      <c r="E22" s="7" t="s">
        <v>3</v>
      </c>
      <c r="F22" s="89" t="s">
        <v>4</v>
      </c>
    </row>
    <row r="23" spans="2:6" ht="12.75" x14ac:dyDescent="0.2">
      <c r="B23" s="88"/>
      <c r="C23" s="110" t="s">
        <v>98</v>
      </c>
      <c r="D23" s="111"/>
      <c r="E23" s="111"/>
      <c r="F23" s="112"/>
    </row>
    <row r="24" spans="2:6" ht="12.75" x14ac:dyDescent="0.2">
      <c r="B24" s="88" t="s">
        <v>6</v>
      </c>
      <c r="C24" s="7">
        <v>51000</v>
      </c>
      <c r="D24" s="7">
        <v>70500</v>
      </c>
      <c r="E24" s="7">
        <v>35985</v>
      </c>
      <c r="F24" s="89">
        <v>157485</v>
      </c>
    </row>
    <row r="25" spans="2:6" ht="12.75" x14ac:dyDescent="0.2">
      <c r="B25" s="88" t="s">
        <v>7</v>
      </c>
      <c r="C25" s="7">
        <v>42600</v>
      </c>
      <c r="D25" s="7">
        <v>492040</v>
      </c>
      <c r="E25" s="7">
        <v>49541</v>
      </c>
      <c r="F25" s="89">
        <v>584181</v>
      </c>
    </row>
    <row r="26" spans="2:6" ht="12.75" x14ac:dyDescent="0.2">
      <c r="B26" s="88" t="s">
        <v>8</v>
      </c>
      <c r="C26" s="7">
        <v>389250</v>
      </c>
      <c r="D26" s="7">
        <v>972400</v>
      </c>
      <c r="E26" s="7">
        <v>193231</v>
      </c>
      <c r="F26" s="89">
        <v>1554881</v>
      </c>
    </row>
    <row r="27" spans="2:6" ht="12.75" x14ac:dyDescent="0.2">
      <c r="B27" s="88" t="s">
        <v>9</v>
      </c>
      <c r="C27" s="7">
        <v>146500</v>
      </c>
      <c r="D27" s="7">
        <v>61800</v>
      </c>
      <c r="E27" s="7">
        <v>43000</v>
      </c>
      <c r="F27" s="89">
        <v>251300</v>
      </c>
    </row>
    <row r="28" spans="2:6" ht="12.75" x14ac:dyDescent="0.2">
      <c r="B28" s="88" t="s">
        <v>10</v>
      </c>
      <c r="C28" s="7">
        <v>41080</v>
      </c>
      <c r="D28" s="7">
        <v>87111</v>
      </c>
      <c r="E28" s="7">
        <v>18598</v>
      </c>
      <c r="F28" s="89">
        <v>146789</v>
      </c>
    </row>
    <row r="29" spans="2:6" ht="12.75" x14ac:dyDescent="0.2">
      <c r="B29" s="88" t="s">
        <v>11</v>
      </c>
      <c r="C29" s="7">
        <v>20200</v>
      </c>
      <c r="D29" s="7">
        <v>1452360</v>
      </c>
      <c r="E29" s="7">
        <v>230511</v>
      </c>
      <c r="F29" s="89">
        <v>1703071</v>
      </c>
    </row>
    <row r="30" spans="2:6" ht="12.75" x14ac:dyDescent="0.2">
      <c r="B30" s="88" t="s">
        <v>99</v>
      </c>
      <c r="C30" s="7">
        <v>471230</v>
      </c>
      <c r="D30" s="7">
        <v>1775811</v>
      </c>
      <c r="E30" s="7">
        <v>373149</v>
      </c>
      <c r="F30" s="89">
        <v>2620190</v>
      </c>
    </row>
    <row r="31" spans="2:6" ht="12.75" x14ac:dyDescent="0.2">
      <c r="B31" s="88" t="s">
        <v>100</v>
      </c>
      <c r="C31" s="7">
        <v>132478</v>
      </c>
      <c r="D31" s="7">
        <v>98560</v>
      </c>
      <c r="E31" s="7">
        <v>120970</v>
      </c>
      <c r="F31" s="89">
        <v>352008</v>
      </c>
    </row>
    <row r="32" spans="2:6" ht="12.75" x14ac:dyDescent="0.2">
      <c r="B32" s="88"/>
      <c r="C32" s="7"/>
      <c r="D32" s="7"/>
      <c r="E32" s="7"/>
      <c r="F32" s="89"/>
    </row>
    <row r="33" spans="2:6" ht="12.75" x14ac:dyDescent="0.2">
      <c r="B33" s="88" t="s">
        <v>101</v>
      </c>
      <c r="C33" s="7"/>
      <c r="D33" s="7"/>
      <c r="E33" s="7"/>
      <c r="F33" s="89"/>
    </row>
    <row r="34" spans="2:6" ht="12.75" x14ac:dyDescent="0.2">
      <c r="B34" s="88" t="s">
        <v>6</v>
      </c>
      <c r="C34" s="7">
        <v>9000</v>
      </c>
      <c r="D34" s="7">
        <v>0</v>
      </c>
      <c r="E34" s="7">
        <v>20865</v>
      </c>
      <c r="F34" s="89">
        <v>29865</v>
      </c>
    </row>
    <row r="35" spans="2:6" ht="12.75" x14ac:dyDescent="0.2">
      <c r="B35" s="88" t="s">
        <v>7</v>
      </c>
      <c r="C35" s="7">
        <v>30900</v>
      </c>
      <c r="D35" s="7">
        <v>32640</v>
      </c>
      <c r="E35" s="7">
        <v>27255</v>
      </c>
      <c r="F35" s="89">
        <v>90795</v>
      </c>
    </row>
    <row r="36" spans="2:6" ht="12.75" x14ac:dyDescent="0.2">
      <c r="B36" s="88" t="s">
        <v>8</v>
      </c>
      <c r="C36" s="7">
        <v>222050</v>
      </c>
      <c r="D36" s="7">
        <v>118900</v>
      </c>
      <c r="E36" s="7">
        <v>50420</v>
      </c>
      <c r="F36" s="89">
        <v>391370</v>
      </c>
    </row>
    <row r="37" spans="2:6" ht="12.75" x14ac:dyDescent="0.2">
      <c r="B37" s="88" t="s">
        <v>9</v>
      </c>
      <c r="C37" s="7">
        <v>0</v>
      </c>
      <c r="D37" s="7">
        <v>4600</v>
      </c>
      <c r="E37" s="7">
        <v>0</v>
      </c>
      <c r="F37" s="89">
        <v>4600</v>
      </c>
    </row>
    <row r="38" spans="2:6" ht="12.75" x14ac:dyDescent="0.2">
      <c r="B38" s="88" t="s">
        <v>10</v>
      </c>
      <c r="C38" s="7">
        <v>32080</v>
      </c>
      <c r="D38" s="7">
        <v>68611</v>
      </c>
      <c r="E38" s="7">
        <v>15692</v>
      </c>
      <c r="F38" s="89">
        <v>116383</v>
      </c>
    </row>
    <row r="39" spans="2:6" ht="12.75" x14ac:dyDescent="0.2">
      <c r="B39" s="90" t="s">
        <v>11</v>
      </c>
      <c r="C39" s="91" t="s">
        <v>102</v>
      </c>
      <c r="D39" s="91" t="s">
        <v>102</v>
      </c>
      <c r="E39" s="91" t="s">
        <v>102</v>
      </c>
      <c r="F39" s="92">
        <v>442260</v>
      </c>
    </row>
    <row r="40" spans="2:6" ht="12.75" x14ac:dyDescent="0.2">
      <c r="B40" s="88" t="s">
        <v>103</v>
      </c>
    </row>
  </sheetData>
  <sheetProtection algorithmName="SHA-512" hashValue="gFQ9OZEqY678J2AfSOt5c/QxGY0MSgeBj964/wLkSIGeUTW9ymsxr2QtNYMlOyvPbceachwvSEi2jYLvw4lbhQ==" saltValue="ZIoHown3wrLJBZYS4GmPOQ==" spinCount="100000" sheet="1" objects="1" scenarios="1"/>
  <mergeCells count="2">
    <mergeCell ref="B19:F20"/>
    <mergeCell ref="C23:F2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76E03-A3F0-41D1-B3CD-A3C04F9CFEBE}">
  <sheetPr codeName="Ark6"/>
  <dimension ref="A3:E28"/>
  <sheetViews>
    <sheetView workbookViewId="0">
      <selection activeCell="R18" sqref="R18"/>
    </sheetView>
  </sheetViews>
  <sheetFormatPr defaultRowHeight="12" x14ac:dyDescent="0.2"/>
  <cols>
    <col min="1" max="1" width="17.140625" bestFit="1" customWidth="1"/>
    <col min="2" max="2" width="17" bestFit="1" customWidth="1"/>
    <col min="3" max="3" width="13.7109375" bestFit="1" customWidth="1"/>
    <col min="4" max="4" width="13.5703125" bestFit="1" customWidth="1"/>
    <col min="5" max="5" width="22" bestFit="1" customWidth="1"/>
  </cols>
  <sheetData>
    <row r="3" spans="1:5" x14ac:dyDescent="0.2">
      <c r="A3" s="72" t="s">
        <v>75</v>
      </c>
      <c r="B3" t="s">
        <v>71</v>
      </c>
      <c r="C3" t="s">
        <v>72</v>
      </c>
      <c r="D3" t="s">
        <v>73</v>
      </c>
      <c r="E3" t="s">
        <v>74</v>
      </c>
    </row>
    <row r="4" spans="1:5" x14ac:dyDescent="0.2">
      <c r="A4" s="73">
        <v>2005</v>
      </c>
      <c r="B4">
        <v>301980.01</v>
      </c>
      <c r="C4" s="48">
        <v>230601.60000000001</v>
      </c>
      <c r="D4">
        <v>2030</v>
      </c>
      <c r="E4" s="48">
        <v>534611.61</v>
      </c>
    </row>
    <row r="5" spans="1:5" x14ac:dyDescent="0.2">
      <c r="A5" s="73">
        <v>2008</v>
      </c>
      <c r="B5">
        <v>255264.86</v>
      </c>
      <c r="C5" s="48">
        <v>182595.3</v>
      </c>
      <c r="D5">
        <v>2740.5</v>
      </c>
      <c r="E5" s="48">
        <v>440600.66</v>
      </c>
    </row>
    <row r="6" spans="1:5" x14ac:dyDescent="0.2">
      <c r="A6" s="73">
        <v>2011</v>
      </c>
      <c r="B6">
        <v>185099.03</v>
      </c>
      <c r="C6" s="48">
        <v>150927.52000000002</v>
      </c>
      <c r="D6">
        <v>1928.5</v>
      </c>
      <c r="E6" s="48">
        <v>337955.05000000005</v>
      </c>
    </row>
    <row r="7" spans="1:5" x14ac:dyDescent="0.2">
      <c r="A7" s="73">
        <v>2014</v>
      </c>
      <c r="B7">
        <v>120254.06999999999</v>
      </c>
      <c r="C7" s="48">
        <v>83078.493130312185</v>
      </c>
      <c r="D7">
        <v>3248</v>
      </c>
      <c r="E7" s="48">
        <v>206580.56313031219</v>
      </c>
    </row>
    <row r="8" spans="1:5" x14ac:dyDescent="0.2">
      <c r="A8" s="73">
        <v>2017</v>
      </c>
      <c r="B8">
        <v>110646.9</v>
      </c>
      <c r="C8" s="48">
        <v>72377.125775082124</v>
      </c>
      <c r="D8">
        <v>7815.5</v>
      </c>
      <c r="E8" s="48">
        <v>190839.52577508212</v>
      </c>
    </row>
    <row r="9" spans="1:5" x14ac:dyDescent="0.2">
      <c r="A9" s="73">
        <v>2020</v>
      </c>
      <c r="B9">
        <v>95838.34</v>
      </c>
      <c r="C9" s="48">
        <v>40608.468065251182</v>
      </c>
      <c r="D9">
        <v>4060</v>
      </c>
      <c r="E9" s="48">
        <v>140506.80806525119</v>
      </c>
    </row>
    <row r="10" spans="1:5" x14ac:dyDescent="0.2">
      <c r="A10" s="73">
        <v>2023</v>
      </c>
      <c r="B10">
        <v>39078.310000000005</v>
      </c>
      <c r="C10" s="48">
        <v>30168.359564150411</v>
      </c>
      <c r="D10">
        <v>10048.5</v>
      </c>
      <c r="E10" s="48">
        <v>79295.169564150419</v>
      </c>
    </row>
    <row r="11" spans="1:5" x14ac:dyDescent="0.2">
      <c r="A11" s="73" t="s">
        <v>76</v>
      </c>
      <c r="B11">
        <v>1108161.52</v>
      </c>
      <c r="C11" s="48">
        <v>790356.86653479596</v>
      </c>
      <c r="D11">
        <v>31871</v>
      </c>
      <c r="E11" s="48">
        <v>1930389.3865347961</v>
      </c>
    </row>
    <row r="16" spans="1:5" x14ac:dyDescent="0.2">
      <c r="A16" s="72" t="s">
        <v>75</v>
      </c>
      <c r="B16" t="s">
        <v>88</v>
      </c>
      <c r="C16" t="s">
        <v>90</v>
      </c>
      <c r="D16" t="s">
        <v>89</v>
      </c>
    </row>
    <row r="17" spans="1:4" x14ac:dyDescent="0.2">
      <c r="A17" s="73">
        <v>2005</v>
      </c>
      <c r="B17">
        <v>758</v>
      </c>
      <c r="C17">
        <v>915</v>
      </c>
      <c r="D17">
        <v>231</v>
      </c>
    </row>
    <row r="18" spans="1:4" x14ac:dyDescent="0.2">
      <c r="A18" s="73">
        <v>2008</v>
      </c>
      <c r="B18">
        <v>815</v>
      </c>
      <c r="C18">
        <v>619</v>
      </c>
      <c r="D18">
        <v>553</v>
      </c>
    </row>
    <row r="19" spans="1:4" x14ac:dyDescent="0.2">
      <c r="A19" s="73">
        <v>2011</v>
      </c>
      <c r="B19">
        <v>644</v>
      </c>
      <c r="C19">
        <v>325</v>
      </c>
      <c r="D19">
        <v>95</v>
      </c>
    </row>
    <row r="20" spans="1:4" x14ac:dyDescent="0.2">
      <c r="A20" s="73">
        <v>2014</v>
      </c>
      <c r="B20">
        <v>354</v>
      </c>
      <c r="C20">
        <v>123</v>
      </c>
      <c r="D20">
        <v>114</v>
      </c>
    </row>
    <row r="21" spans="1:4" x14ac:dyDescent="0.2">
      <c r="A21" s="73">
        <v>2017</v>
      </c>
      <c r="B21">
        <v>273</v>
      </c>
      <c r="C21">
        <v>43</v>
      </c>
      <c r="D21">
        <v>127</v>
      </c>
    </row>
    <row r="22" spans="1:4" x14ac:dyDescent="0.2">
      <c r="A22" s="73">
        <v>2020</v>
      </c>
      <c r="B22">
        <v>180</v>
      </c>
      <c r="C22">
        <v>68</v>
      </c>
      <c r="D22">
        <v>164</v>
      </c>
    </row>
    <row r="23" spans="1:4" x14ac:dyDescent="0.2">
      <c r="A23" s="73">
        <v>2023</v>
      </c>
      <c r="B23">
        <v>82</v>
      </c>
      <c r="C23">
        <v>38</v>
      </c>
      <c r="D23">
        <v>78</v>
      </c>
    </row>
    <row r="24" spans="1:4" x14ac:dyDescent="0.2">
      <c r="A24" s="73">
        <v>2026</v>
      </c>
      <c r="B24">
        <v>51.777777777777779</v>
      </c>
      <c r="C24">
        <v>28.555555555555557</v>
      </c>
      <c r="D24">
        <v>74</v>
      </c>
    </row>
    <row r="25" spans="1:4" x14ac:dyDescent="0.2">
      <c r="A25" s="73">
        <v>2029</v>
      </c>
      <c r="B25">
        <v>21.555555555555557</v>
      </c>
      <c r="C25">
        <v>19.111111111111114</v>
      </c>
      <c r="D25">
        <v>70</v>
      </c>
    </row>
    <row r="26" spans="1:4" x14ac:dyDescent="0.2">
      <c r="A26" s="73">
        <v>2032</v>
      </c>
      <c r="B26">
        <v>-8.6666666666666643</v>
      </c>
      <c r="C26">
        <v>9.6666666666666696</v>
      </c>
      <c r="D26">
        <v>66</v>
      </c>
    </row>
    <row r="27" spans="1:4" x14ac:dyDescent="0.2">
      <c r="A27" s="73">
        <v>2035</v>
      </c>
      <c r="B27">
        <v>-38.888888888888886</v>
      </c>
      <c r="C27">
        <v>0.22222222222222499</v>
      </c>
      <c r="D27">
        <v>62</v>
      </c>
    </row>
    <row r="28" spans="1:4" x14ac:dyDescent="0.2">
      <c r="A28" s="73" t="s">
        <v>76</v>
      </c>
      <c r="B28">
        <v>3131.7777777777783</v>
      </c>
      <c r="C28">
        <v>2188.5555555555557</v>
      </c>
      <c r="D28">
        <v>1634</v>
      </c>
    </row>
  </sheetData>
  <sheetProtection algorithmName="SHA-512" hashValue="ZgT53kMsvZMtmmDZls3fMzVUAS+zyFv4n1xyGShpbp0aiWnqoT0sYwvOjNSmpRcJE4F+qUIr26WYYQ8R1kPQkw==" saltValue="srQYq6CaSuQ+kCMzK3ouog==" spinCount="100000" sheet="1" objects="1" scenarios="1"/>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2849-12E6-4A9C-A4BA-C38C9650F68D}">
  <sheetPr codeName="Ark7"/>
  <dimension ref="A3:E30"/>
  <sheetViews>
    <sheetView workbookViewId="0">
      <selection activeCell="F34" sqref="F34"/>
    </sheetView>
  </sheetViews>
  <sheetFormatPr defaultRowHeight="12" x14ac:dyDescent="0.2"/>
  <cols>
    <col min="1" max="1" width="17.7109375" customWidth="1"/>
    <col min="2" max="2" width="16.7109375" customWidth="1"/>
  </cols>
  <sheetData>
    <row r="3" spans="1:5" x14ac:dyDescent="0.2">
      <c r="A3">
        <v>2023</v>
      </c>
    </row>
    <row r="4" spans="1:5" x14ac:dyDescent="0.2">
      <c r="A4" s="108" t="s">
        <v>0</v>
      </c>
      <c r="B4" s="108"/>
      <c r="C4" s="108"/>
      <c r="D4" s="108"/>
      <c r="E4" s="108"/>
    </row>
    <row r="5" spans="1:5" x14ac:dyDescent="0.2">
      <c r="A5" s="108"/>
      <c r="B5" s="108"/>
      <c r="C5" s="108"/>
      <c r="D5" s="108"/>
      <c r="E5" s="108"/>
    </row>
    <row r="6" spans="1:5" ht="12.75" x14ac:dyDescent="0.2">
      <c r="A6" s="7"/>
      <c r="B6" s="7"/>
      <c r="C6" s="7"/>
      <c r="D6" s="7"/>
      <c r="E6" s="7"/>
    </row>
    <row r="7" spans="1:5" ht="12.75" x14ac:dyDescent="0.2">
      <c r="A7" s="7"/>
      <c r="B7" s="7" t="s">
        <v>1</v>
      </c>
      <c r="C7" s="7" t="s">
        <v>2</v>
      </c>
      <c r="D7" s="7" t="s">
        <v>3</v>
      </c>
      <c r="E7" s="7" t="s">
        <v>4</v>
      </c>
    </row>
    <row r="8" spans="1:5" ht="12.75" x14ac:dyDescent="0.2">
      <c r="A8" s="7"/>
      <c r="B8" s="113" t="s">
        <v>5</v>
      </c>
      <c r="C8" s="113"/>
      <c r="D8" s="113"/>
      <c r="E8" s="113"/>
    </row>
    <row r="9" spans="1:5" ht="12.75" x14ac:dyDescent="0.2">
      <c r="A9" s="7" t="s">
        <v>6</v>
      </c>
      <c r="B9" s="7">
        <v>22</v>
      </c>
      <c r="C9" s="7">
        <v>5</v>
      </c>
      <c r="D9" s="7">
        <v>12</v>
      </c>
      <c r="E9" s="7">
        <v>38</v>
      </c>
    </row>
    <row r="10" spans="1:5" ht="12.75" x14ac:dyDescent="0.2">
      <c r="A10" s="7" t="s">
        <v>7</v>
      </c>
      <c r="B10" s="7">
        <v>19</v>
      </c>
      <c r="C10" s="7">
        <v>39</v>
      </c>
      <c r="D10" s="7">
        <v>19</v>
      </c>
      <c r="E10" s="7">
        <v>78</v>
      </c>
    </row>
    <row r="11" spans="1:5" ht="12.75" x14ac:dyDescent="0.2">
      <c r="A11" s="7" t="s">
        <v>8</v>
      </c>
      <c r="B11" s="7">
        <v>167</v>
      </c>
      <c r="C11" s="7">
        <v>126</v>
      </c>
      <c r="D11" s="7">
        <v>94</v>
      </c>
      <c r="E11" s="7">
        <v>387</v>
      </c>
    </row>
    <row r="12" spans="1:5" ht="12.75" x14ac:dyDescent="0.2">
      <c r="A12" s="7" t="s">
        <v>9</v>
      </c>
      <c r="B12" s="7">
        <v>47</v>
      </c>
      <c r="C12" s="7">
        <v>17</v>
      </c>
      <c r="D12" s="7">
        <v>18</v>
      </c>
      <c r="E12" s="7">
        <v>82</v>
      </c>
    </row>
    <row r="13" spans="1:5" ht="12.75" x14ac:dyDescent="0.2">
      <c r="A13" s="7" t="s">
        <v>10</v>
      </c>
      <c r="B13" s="7">
        <v>30</v>
      </c>
      <c r="C13" s="7">
        <v>55</v>
      </c>
      <c r="D13" s="7">
        <v>14</v>
      </c>
      <c r="E13" s="7">
        <v>99</v>
      </c>
    </row>
    <row r="14" spans="1:5" ht="12.75" x14ac:dyDescent="0.2">
      <c r="A14" s="7" t="s">
        <v>11</v>
      </c>
      <c r="B14" s="7">
        <v>15</v>
      </c>
      <c r="C14" s="7">
        <v>1580</v>
      </c>
      <c r="D14" s="7">
        <v>387</v>
      </c>
      <c r="E14" s="7">
        <v>1982</v>
      </c>
    </row>
    <row r="15" spans="1:5" ht="12.75" x14ac:dyDescent="0.2">
      <c r="A15" s="7" t="s">
        <v>12</v>
      </c>
      <c r="B15" s="7">
        <v>302</v>
      </c>
      <c r="C15" s="7">
        <v>1821</v>
      </c>
      <c r="D15" s="7">
        <v>543</v>
      </c>
      <c r="E15" s="7">
        <v>2666</v>
      </c>
    </row>
    <row r="16" spans="1:5" ht="12.75" x14ac:dyDescent="0.2">
      <c r="A16" s="7" t="s">
        <v>13</v>
      </c>
      <c r="B16" s="7">
        <v>52</v>
      </c>
      <c r="C16" s="7">
        <v>266</v>
      </c>
      <c r="D16" s="7">
        <v>75</v>
      </c>
      <c r="E16" s="7">
        <v>393</v>
      </c>
    </row>
    <row r="17" spans="1:5" ht="12.75" x14ac:dyDescent="0.2">
      <c r="A17" s="7" t="s">
        <v>14</v>
      </c>
      <c r="B17" s="7">
        <v>353</v>
      </c>
      <c r="C17" s="7">
        <v>2087</v>
      </c>
      <c r="D17" s="7">
        <v>618</v>
      </c>
      <c r="E17" s="7">
        <v>3059</v>
      </c>
    </row>
    <row r="18" spans="1:5" ht="12.75" x14ac:dyDescent="0.2">
      <c r="A18" s="7" t="s">
        <v>15</v>
      </c>
    </row>
    <row r="20" spans="1:5" x14ac:dyDescent="0.2">
      <c r="A20">
        <v>2005</v>
      </c>
    </row>
    <row r="21" spans="1:5" x14ac:dyDescent="0.2">
      <c r="B21" t="s">
        <v>16</v>
      </c>
    </row>
    <row r="22" spans="1:5" ht="12.75" x14ac:dyDescent="0.2">
      <c r="A22" s="7" t="s">
        <v>6</v>
      </c>
      <c r="B22">
        <v>915</v>
      </c>
    </row>
    <row r="23" spans="1:5" ht="12.75" x14ac:dyDescent="0.2">
      <c r="A23" s="7" t="s">
        <v>7</v>
      </c>
      <c r="B23">
        <v>231</v>
      </c>
    </row>
    <row r="24" spans="1:5" ht="12.75" x14ac:dyDescent="0.2">
      <c r="A24" s="7" t="s">
        <v>8</v>
      </c>
      <c r="B24">
        <v>2359</v>
      </c>
    </row>
    <row r="25" spans="1:5" ht="12.75" x14ac:dyDescent="0.2">
      <c r="A25" s="7" t="s">
        <v>9</v>
      </c>
      <c r="B25">
        <v>758</v>
      </c>
    </row>
    <row r="26" spans="1:5" ht="12.75" x14ac:dyDescent="0.2">
      <c r="A26" s="7" t="s">
        <v>10</v>
      </c>
      <c r="B26">
        <v>20</v>
      </c>
    </row>
    <row r="27" spans="1:5" ht="12.75" x14ac:dyDescent="0.2">
      <c r="A27" s="7" t="s">
        <v>11</v>
      </c>
      <c r="B27">
        <v>2365</v>
      </c>
    </row>
    <row r="28" spans="1:5" ht="12.75" x14ac:dyDescent="0.2">
      <c r="A28" s="7" t="s">
        <v>13</v>
      </c>
      <c r="B28">
        <v>897</v>
      </c>
    </row>
    <row r="29" spans="1:5" ht="12.75" x14ac:dyDescent="0.2">
      <c r="A29" s="7" t="s">
        <v>14</v>
      </c>
      <c r="B29">
        <f>SUM(B22:B28)</f>
        <v>7545</v>
      </c>
    </row>
    <row r="30" spans="1:5" ht="12.75" x14ac:dyDescent="0.2">
      <c r="A30" s="7" t="s">
        <v>17</v>
      </c>
    </row>
  </sheetData>
  <sheetProtection algorithmName="SHA-512" hashValue="nOYDAuKhj/anM4+HCIHwoNPi4GQ81GALIkCEpjtb9h9+HTioXW4eMnqfSr07d6oLR83Ll+OqUXafoFxEfYvJ/A==" saltValue="Nt8wmikuWINwC3RpWbFE1A==" spinCount="100000" sheet="1" objects="1" scenarios="1"/>
  <mergeCells count="2">
    <mergeCell ref="A4:E5"/>
    <mergeCell ref="B8:E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7</vt:i4>
      </vt:variant>
    </vt:vector>
  </HeadingPairs>
  <TitlesOfParts>
    <vt:vector size="7" baseType="lpstr">
      <vt:lpstr>Klimaregnskab</vt:lpstr>
      <vt:lpstr>Målsætninger</vt:lpstr>
      <vt:lpstr>Emissioner over tid</vt:lpstr>
      <vt:lpstr>Emissionsfaktorer</vt:lpstr>
      <vt:lpstr>Metadata</vt:lpstr>
      <vt:lpstr>Ark4</vt:lpstr>
      <vt:lpstr>Ark2</vt:lpstr>
    </vt:vector>
  </TitlesOfParts>
  <Company>Dansk Gartneri - Dansk Gartneri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Molle Marie Hinchely Kyhn</dc:creator>
  <cp:lastModifiedBy>Molle Marie Hinchely Kyhn</cp:lastModifiedBy>
  <dcterms:created xsi:type="dcterms:W3CDTF">2025-07-31T11:16:29Z</dcterms:created>
  <dcterms:modified xsi:type="dcterms:W3CDTF">2025-09-17T10:48:31Z</dcterms:modified>
</cp:coreProperties>
</file>